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Mijn Documenten\000 JFC HQ Brunssum\KIS\"/>
    </mc:Choice>
  </mc:AlternateContent>
  <bookViews>
    <workbookView xWindow="0" yWindow="0" windowWidth="25200" windowHeight="1198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</calcChain>
</file>

<file path=xl/sharedStrings.xml><?xml version="1.0" encoding="utf-8"?>
<sst xmlns="http://schemas.openxmlformats.org/spreadsheetml/2006/main" count="2550" uniqueCount="2015">
  <si>
    <t>EoriNaam</t>
  </si>
  <si>
    <t>Straat</t>
  </si>
  <si>
    <t>PostCode</t>
  </si>
  <si>
    <t>Plaats</t>
  </si>
  <si>
    <t>VergunNr</t>
  </si>
  <si>
    <t>VergunAfgDatum</t>
  </si>
  <si>
    <t>VergunEindDatum</t>
  </si>
  <si>
    <t>Juweliersbedrijf Meertens V.O.F.</t>
  </si>
  <si>
    <t>6411LC</t>
  </si>
  <si>
    <t>Heerlen</t>
  </si>
  <si>
    <t>EINDHOVEN</t>
  </si>
  <si>
    <t>Rob Wijnen                          h/o Rob Wijnen Naaimachines         (Promon International)</t>
  </si>
  <si>
    <t>RIJKSWEG ZUID 112</t>
  </si>
  <si>
    <t>6161BR</t>
  </si>
  <si>
    <t>GELEEN</t>
  </si>
  <si>
    <t>Garage Middenweg V.O.F.</t>
  </si>
  <si>
    <t>WINDRAAK 24 B</t>
  </si>
  <si>
    <t>6153AB</t>
  </si>
  <si>
    <t>WINDRAAK</t>
  </si>
  <si>
    <t>Rob Smeets Rijwielen</t>
  </si>
  <si>
    <t>BUNDERSTRAAT 193</t>
  </si>
  <si>
    <t>6231EK</t>
  </si>
  <si>
    <t>MEERSSEN</t>
  </si>
  <si>
    <t>AQUATICA vijver en tuin V.O.F.</t>
  </si>
  <si>
    <t>OP DE BIES 66 A</t>
  </si>
  <si>
    <t>6333BZ</t>
  </si>
  <si>
    <t>SCHIMMERT</t>
  </si>
  <si>
    <t>Sublub B.V.</t>
  </si>
  <si>
    <t>ADMIRAAL DE RUYTERWEG 40 A</t>
  </si>
  <si>
    <t>3031AD</t>
  </si>
  <si>
    <t>ROTTERDAM</t>
  </si>
  <si>
    <t>BREDA</t>
  </si>
  <si>
    <t>Garage Dresschers</t>
  </si>
  <si>
    <t>MGR MANNENSSTRAAT 41 A</t>
  </si>
  <si>
    <t>6447AB</t>
  </si>
  <si>
    <t>MERKELBEEK</t>
  </si>
  <si>
    <t>Car-Vitaal B.V.</t>
  </si>
  <si>
    <t>LEYENBROEKERWEG 27</t>
  </si>
  <si>
    <t>6132CA</t>
  </si>
  <si>
    <t>SITTARD</t>
  </si>
  <si>
    <t>K &amp; D B.V.</t>
  </si>
  <si>
    <t>IN DE CRAMER 184</t>
  </si>
  <si>
    <t>6412PM</t>
  </si>
  <si>
    <t>HEERLEN</t>
  </si>
  <si>
    <t>West Coast Motors B.V.</t>
  </si>
  <si>
    <t>MADAME CURIESTRAAT 6</t>
  </si>
  <si>
    <t>1821BM</t>
  </si>
  <si>
    <t>ALKMAAR</t>
  </si>
  <si>
    <t>AMSTERDAM</t>
  </si>
  <si>
    <t>SJAAK VAN DEN BERGH AUTOFIT</t>
  </si>
  <si>
    <t>HAEFLAND 15</t>
  </si>
  <si>
    <t>6441PA</t>
  </si>
  <si>
    <t>BRUNSSUM</t>
  </si>
  <si>
    <t>T.I.N.C. Computers Heerlen VOF</t>
  </si>
  <si>
    <t>HEERENWEG 251</t>
  </si>
  <si>
    <t>6414AJ</t>
  </si>
  <si>
    <t>Samsung Business Center/ Blue OrangeB.V.</t>
  </si>
  <si>
    <t>DE RUN 4242</t>
  </si>
  <si>
    <t>5503LL</t>
  </si>
  <si>
    <t>VELDHOVEN</t>
  </si>
  <si>
    <t>Franssen Workshops en PC Training</t>
  </si>
  <si>
    <t>6171KP</t>
  </si>
  <si>
    <t>Stein</t>
  </si>
  <si>
    <t>BUDE BOUWMARKT KERKRADE B.V.</t>
  </si>
  <si>
    <t>KLIPPERWEG 20</t>
  </si>
  <si>
    <t>6222PC</t>
  </si>
  <si>
    <t>MAASTRICHT</t>
  </si>
  <si>
    <t>V.O.F. JUWELIER VAN VELTHUIJSEN</t>
  </si>
  <si>
    <t>AKERSTEENWEG 118</t>
  </si>
  <si>
    <t>6227AC</t>
  </si>
  <si>
    <t>BERDENMEUBELEN B.V.</t>
  </si>
  <si>
    <t>LAURENTIUSPLEIN 3</t>
  </si>
  <si>
    <t>5921GX</t>
  </si>
  <si>
    <t>VENLO</t>
  </si>
  <si>
    <t>Boom B.V.</t>
  </si>
  <si>
    <t>RABROEKENWEG 20</t>
  </si>
  <si>
    <t>7942JE</t>
  </si>
  <si>
    <t>MEPPEL</t>
  </si>
  <si>
    <t>ZWOLLE</t>
  </si>
  <si>
    <t>GRONINGEN</t>
  </si>
  <si>
    <t>Technisch Bureau Magema B.V.</t>
  </si>
  <si>
    <t>STOBBEWEG 17</t>
  </si>
  <si>
    <t>2461EX</t>
  </si>
  <si>
    <t>TER AAR</t>
  </si>
  <si>
    <t>ARNHEM</t>
  </si>
  <si>
    <t>Haffkamp Campers</t>
  </si>
  <si>
    <t>HAGTINGIUSHOF 3</t>
  </si>
  <si>
    <t>6463EL</t>
  </si>
  <si>
    <t>KERKRADE</t>
  </si>
  <si>
    <t>Biqer B.V.</t>
  </si>
  <si>
    <t>VAALSERBERGWEG 297</t>
  </si>
  <si>
    <t>5628CG</t>
  </si>
  <si>
    <t>Pronto Wonen Heerlen B.V.</t>
  </si>
  <si>
    <t>IN DE CRAMER 164</t>
  </si>
  <si>
    <t>Ivizi Maastricht B.V.</t>
  </si>
  <si>
    <t>WYCKER BRUGSTRAAT 30</t>
  </si>
  <si>
    <t>6221ED</t>
  </si>
  <si>
    <t>VROMEN-NETRIFA B.V.</t>
  </si>
  <si>
    <t>'T WINKELCENTRUM 11</t>
  </si>
  <si>
    <t>6441BZ</t>
  </si>
  <si>
    <t>KERO TWEEWIELERS B.V.</t>
  </si>
  <si>
    <t>GANZEWEIDE 54</t>
  </si>
  <si>
    <t>6413GG</t>
  </si>
  <si>
    <t>De Wit Schijndel B.V.</t>
  </si>
  <si>
    <t>ROOISEWEG 22</t>
  </si>
  <si>
    <t>5481SJ</t>
  </si>
  <si>
    <t>SCHIJNDEL</t>
  </si>
  <si>
    <t>MH Carpenter VOF</t>
  </si>
  <si>
    <t>MOLENVAART 14</t>
  </si>
  <si>
    <t>6442PL</t>
  </si>
  <si>
    <t>KM Nederland B.V.</t>
  </si>
  <si>
    <t>STADHOUDERSKADE 157</t>
  </si>
  <si>
    <t>1074BC</t>
  </si>
  <si>
    <t>Rusman.nl Tuin &amp; Terras V.O.F.</t>
  </si>
  <si>
    <t>ESSCHENWEG 70 A</t>
  </si>
  <si>
    <t>6412PV</t>
  </si>
  <si>
    <t>Woninginrichting en Textiel         Thijssen B.V.</t>
  </si>
  <si>
    <t>STATIONSSTRAAT 13 I</t>
  </si>
  <si>
    <t>6026CR</t>
  </si>
  <si>
    <t>MAARHEEZE</t>
  </si>
  <si>
    <t>Media Markt Hoorn B.V.</t>
  </si>
  <si>
    <t>DR. C.J.K. VAN AALSTWEG 15</t>
  </si>
  <si>
    <t>1625NV</t>
  </si>
  <si>
    <t>HOORN NH</t>
  </si>
  <si>
    <t>Jagers Aanhangwagens &amp; AutoOccasions</t>
  </si>
  <si>
    <t>6373ET</t>
  </si>
  <si>
    <t>LANDGRAAF</t>
  </si>
  <si>
    <t>Schins Mode in Leer V.O.F.</t>
  </si>
  <si>
    <t>MAASTRICHTER SMEDENSTR 15</t>
  </si>
  <si>
    <t>6211GK</t>
  </si>
  <si>
    <t>R.F.T. BOVENS                       h/o                                 Damesmode Charlotte</t>
  </si>
  <si>
    <t>HONIGMANNSTRAAT 40</t>
  </si>
  <si>
    <t>6411LM</t>
  </si>
  <si>
    <t>Muscle Cars and Parts MCP</t>
  </si>
  <si>
    <t>BESTERDSTRAAT 9</t>
  </si>
  <si>
    <t>5051HH</t>
  </si>
  <si>
    <t>GOIRLE</t>
  </si>
  <si>
    <t>Slaapland Kidz en Teenz</t>
  </si>
  <si>
    <t>REMBRANDTLAAN 17 B</t>
  </si>
  <si>
    <t>5462CJ</t>
  </si>
  <si>
    <t>VEGHEL</t>
  </si>
  <si>
    <t>BUDE BOUWMARKT MEERSSEN B.V.</t>
  </si>
  <si>
    <t>Vermeulen Fietsplezier Eindhoven BV</t>
  </si>
  <si>
    <t>ELCKERLYCLAAN 93</t>
  </si>
  <si>
    <t>5625EP</t>
  </si>
  <si>
    <t>MENGELERS TOYOTA SITTARD B.V.</t>
  </si>
  <si>
    <t>BERGERWEG 73</t>
  </si>
  <si>
    <t>6135KD</t>
  </si>
  <si>
    <t>HOENSBROEK</t>
  </si>
  <si>
    <t>VANMOOF B.V.</t>
  </si>
  <si>
    <t>MAURITSKADE 55 H</t>
  </si>
  <si>
    <t>1092AD</t>
  </si>
  <si>
    <t>J.H.M. HANRATHS                     h.o.d.n. Keyboard Centrum</t>
  </si>
  <si>
    <t>HEEZERWEG 93</t>
  </si>
  <si>
    <t>5614HB</t>
  </si>
  <si>
    <t>A.J. Dieleman, h/o Arjan Dieleman</t>
  </si>
  <si>
    <t>HAEFLAND 24 B</t>
  </si>
  <si>
    <t>Sittard</t>
  </si>
  <si>
    <t>SPRINTPHOTO ZIJLSTRA B.V.</t>
  </si>
  <si>
    <t>WANNERPLEIN 2</t>
  </si>
  <si>
    <t>6413ET</t>
  </si>
  <si>
    <t>JB-Inflatable B.V.</t>
  </si>
  <si>
    <t>AMPERE 10</t>
  </si>
  <si>
    <t>7942DD</t>
  </si>
  <si>
    <t>The Adventure Maastricht B.V.</t>
  </si>
  <si>
    <t>AFRIKALAAN 31</t>
  </si>
  <si>
    <t>6199AH</t>
  </si>
  <si>
    <t>MAASTRICHT-AIRPORT</t>
  </si>
  <si>
    <t>Kluthe Benelux B.V.</t>
  </si>
  <si>
    <t>PRODUKTIEWEG 8</t>
  </si>
  <si>
    <t>2404CC</t>
  </si>
  <si>
    <t>ALPHEN AAN DEN RIJN</t>
  </si>
  <si>
    <t>ARP Nederland B.V.</t>
  </si>
  <si>
    <t>WITHUISVELD 30</t>
  </si>
  <si>
    <t>6226NV</t>
  </si>
  <si>
    <t>AUTOBANDEN VAN SON V.O.F.</t>
  </si>
  <si>
    <t>HAEFLAND 16</t>
  </si>
  <si>
    <t>Fietsvoordeelshop.NL B.V.</t>
  </si>
  <si>
    <t>MIDDENWEG 205</t>
  </si>
  <si>
    <t>1701GB</t>
  </si>
  <si>
    <t>HEERHUGOWAARD</t>
  </si>
  <si>
    <t>Van Tol Sport</t>
  </si>
  <si>
    <t>VOORSTRAAT 56</t>
  </si>
  <si>
    <t>2685EN</t>
  </si>
  <si>
    <t>POELDIJK</t>
  </si>
  <si>
    <t>KOHNEN V.O.F.                       H/O KOHNEN VOOR SLAPEN EN WONEN</t>
  </si>
  <si>
    <t>KERKSTRAAT 109</t>
  </si>
  <si>
    <t>6441BC</t>
  </si>
  <si>
    <t>HANS DE BRUIN V.O.F.</t>
  </si>
  <si>
    <t>GEERSTRAAT 35</t>
  </si>
  <si>
    <t>6456AK</t>
  </si>
  <si>
    <t>BINGELRADE</t>
  </si>
  <si>
    <t>MEUBELBOULEVARD RENE PANS B.V.</t>
  </si>
  <si>
    <t>CABERGERWEG 10</t>
  </si>
  <si>
    <t>6217SC</t>
  </si>
  <si>
    <t>Herma Maastricht B.V.</t>
  </si>
  <si>
    <t>6221BN</t>
  </si>
  <si>
    <t>Maastricht</t>
  </si>
  <si>
    <t>MotoZoom at Utrecht B.V.</t>
  </si>
  <si>
    <t>Savannahweg 43 45</t>
  </si>
  <si>
    <t>3542AW</t>
  </si>
  <si>
    <t>Utrecht</t>
  </si>
  <si>
    <t>JANSEN &amp; JANSEN MEUBEL OUTLET B.V.</t>
  </si>
  <si>
    <t>6373HV</t>
  </si>
  <si>
    <t>CF Montage</t>
  </si>
  <si>
    <t>DR. POELSSTRAAT 43</t>
  </si>
  <si>
    <t>6436BD</t>
  </si>
  <si>
    <t>AMSTENRADE</t>
  </si>
  <si>
    <t>N.J. Hoogland h.o.d.n. Soal Surf en Beach</t>
  </si>
  <si>
    <t>BEGINE 29</t>
  </si>
  <si>
    <t>8711BG</t>
  </si>
  <si>
    <t>WORKUM</t>
  </si>
  <si>
    <t>DOUBLE D B.V.</t>
  </si>
  <si>
    <t>MOLENSTRAAT 10</t>
  </si>
  <si>
    <t>6141BH</t>
  </si>
  <si>
    <t>LIMBRICHT</t>
  </si>
  <si>
    <t>VEGERS MEUBELEN HEERLEN B.V.</t>
  </si>
  <si>
    <t>IN DE CRAMER 198</t>
  </si>
  <si>
    <t>Maas International B.V.</t>
  </si>
  <si>
    <t>SCIENCE PARK EINDHOVEN 5051</t>
  </si>
  <si>
    <t>5692EB</t>
  </si>
  <si>
    <t>SON EN BREUGEL</t>
  </si>
  <si>
    <t>Botteram Bikes Riethoven V.O.F.</t>
  </si>
  <si>
    <t>SCHOOLSTRAAT 29 A</t>
  </si>
  <si>
    <t>5561AH</t>
  </si>
  <si>
    <t>RIETHOVEN</t>
  </si>
  <si>
    <t>V.O.F. DE RIJK-DERREZ</t>
  </si>
  <si>
    <t>LIMBRICHTERSTRAAT 31</t>
  </si>
  <si>
    <t>6131EB</t>
  </si>
  <si>
    <t>HEKKERT HEERLEN B.V.</t>
  </si>
  <si>
    <t>BREUKERWEG 183</t>
  </si>
  <si>
    <t>6412ZK</t>
  </si>
  <si>
    <t>GOOSSENS MEUBELEN B.V.              h.o.d.n. Goossens Wonen &amp; Slapen</t>
  </si>
  <si>
    <t>DOORNHOEK 3865</t>
  </si>
  <si>
    <t>5465TB</t>
  </si>
  <si>
    <t>Cnudde Nederland B.V.</t>
  </si>
  <si>
    <t>COMPUTERWEG 4</t>
  </si>
  <si>
    <t>3542DR</t>
  </si>
  <si>
    <t>UTRECHT</t>
  </si>
  <si>
    <t>MEDIA MARKT VENLO B.V.</t>
  </si>
  <si>
    <t>MAASSTRAAT 12</t>
  </si>
  <si>
    <t>5911DP</t>
  </si>
  <si>
    <t>VOF CYCLES JEAN HABETS</t>
  </si>
  <si>
    <t>STRUCHT 41 A</t>
  </si>
  <si>
    <t>6305AE</t>
  </si>
  <si>
    <t>SCHIN OP GEUL</t>
  </si>
  <si>
    <t>KWIK FIT NEDERLAND B.V.</t>
  </si>
  <si>
    <t>CELSIUSSTRAAT 15</t>
  </si>
  <si>
    <t>3846BK</t>
  </si>
  <si>
    <t>HARDERWIJK</t>
  </si>
  <si>
    <t>Handelsonderneming Scheffer en Zn.  B.V.</t>
  </si>
  <si>
    <t>BEDRIJFSWEG 3 H</t>
  </si>
  <si>
    <t>1785AK</t>
  </si>
  <si>
    <t>DEN HELDER</t>
  </si>
  <si>
    <t>AUTOBEDRIJF JASPER B.V.</t>
  </si>
  <si>
    <t>WINDRAAK 29</t>
  </si>
  <si>
    <t>6153AC</t>
  </si>
  <si>
    <t>Kasteel Limbricht B.V.</t>
  </si>
  <si>
    <t>BANDERTLAAN 9</t>
  </si>
  <si>
    <t>6101NL</t>
  </si>
  <si>
    <t>ECHT</t>
  </si>
  <si>
    <t>Het Rijwielpaleis B.V.</t>
  </si>
  <si>
    <t>VOORHEUVEL 72 74</t>
  </si>
  <si>
    <t>3701JG</t>
  </si>
  <si>
    <t>ZEIST</t>
  </si>
  <si>
    <t>Elecctroworld Offermans</t>
  </si>
  <si>
    <t>BEEKSTRAAT 69</t>
  </si>
  <si>
    <t>6231LE</t>
  </si>
  <si>
    <t>Meubelen Verheij</t>
  </si>
  <si>
    <t>BEEKSTRAAT 37</t>
  </si>
  <si>
    <t>G.J.M. REINTJENS                    H/O FOTO GERY</t>
  </si>
  <si>
    <t>DAUTZENBERGSTRAAT 40</t>
  </si>
  <si>
    <t>V.O.F. P. WOUTERS EN ZN.</t>
  </si>
  <si>
    <t>LOUIS VAN DER MAESENSTR 11 A</t>
  </si>
  <si>
    <t>6301EA</t>
  </si>
  <si>
    <t>VALKENBURG LB</t>
  </si>
  <si>
    <t>Eggen Witgoedservice</t>
  </si>
  <si>
    <t>AKERSTRAAT-NOORD 148</t>
  </si>
  <si>
    <t>6431HR</t>
  </si>
  <si>
    <t>AUTOBEDRIJF JANSSEN B.V.            p/a curator Mr. J.F.E. Kikken</t>
  </si>
  <si>
    <t>6464GB</t>
  </si>
  <si>
    <t>Durlinger's Schoenbedrijf B.V.</t>
  </si>
  <si>
    <t>INDUSTRIETERR PANNINGEN 109</t>
  </si>
  <si>
    <t>5981NC</t>
  </si>
  <si>
    <t>PANNINGEN</t>
  </si>
  <si>
    <t>DC Stores B.V.</t>
  </si>
  <si>
    <t>STEENEN HOOFD 14</t>
  </si>
  <si>
    <t>4825AK</t>
  </si>
  <si>
    <t>Van Kaathoven Nederland B.V.</t>
  </si>
  <si>
    <t>BOUTENSLAAN 195</t>
  </si>
  <si>
    <t>5654AN</t>
  </si>
  <si>
    <t>V.O.F. Race-Thriatlon-ATB Shop John h/o                                 Race-Thriatlon-ATB Shop John</t>
  </si>
  <si>
    <t>DORPSSTRAAT 92</t>
  </si>
  <si>
    <t>5731JK</t>
  </si>
  <si>
    <t>MIERLO</t>
  </si>
  <si>
    <t>Cyberdiga V.O.F.</t>
  </si>
  <si>
    <t>PIUSSTRAAT 22</t>
  </si>
  <si>
    <t>6467EH</t>
  </si>
  <si>
    <t>Driessen Auto VIII B.V.</t>
  </si>
  <si>
    <t>PIETERSBERGWEG 27</t>
  </si>
  <si>
    <t>5628BS</t>
  </si>
  <si>
    <t>KERAM MOTORRAD B.V.</t>
  </si>
  <si>
    <t>AUSTRALIELAAN 30</t>
  </si>
  <si>
    <t>6199AA</t>
  </si>
  <si>
    <t>COLLE SITTARD MACHINEHANDEL B.V.</t>
  </si>
  <si>
    <t>NUSTERWEG 100 102</t>
  </si>
  <si>
    <t>6136KV</t>
  </si>
  <si>
    <t>Wolfs Verlichting B.V.</t>
  </si>
  <si>
    <t>EUREGIOPARK 8</t>
  </si>
  <si>
    <t>6467JE</t>
  </si>
  <si>
    <t>Drukkerij Deurenberg Kerkrade B.V.</t>
  </si>
  <si>
    <t>MARKTSTRAAT 13</t>
  </si>
  <si>
    <t>6461CT</t>
  </si>
  <si>
    <t>Inter IKEA Systems B.V.</t>
  </si>
  <si>
    <t>OLOF PALMESTRAAT 1</t>
  </si>
  <si>
    <t>2616LN</t>
  </si>
  <si>
    <t>DELFT</t>
  </si>
  <si>
    <t>FLEETACCES B.V.</t>
  </si>
  <si>
    <t>DUIVENDIJK 7</t>
  </si>
  <si>
    <t>5672AD</t>
  </si>
  <si>
    <t>NUENEN</t>
  </si>
  <si>
    <t>De Fietsenwinkel Gronsveld B.V.</t>
  </si>
  <si>
    <t>HULSBERGWEG 1</t>
  </si>
  <si>
    <t>6369EC</t>
  </si>
  <si>
    <t>SIMPELVELD</t>
  </si>
  <si>
    <t>PLUM BEHEER B.V.</t>
  </si>
  <si>
    <t>HAVIKWEG 16</t>
  </si>
  <si>
    <t>6374AZ</t>
  </si>
  <si>
    <t>Hornbach Bouwmarkt  (Nederland) B.V.</t>
  </si>
  <si>
    <t>GROOTSLAG 1</t>
  </si>
  <si>
    <t>3991RA</t>
  </si>
  <si>
    <t>HOUTEN</t>
  </si>
  <si>
    <t>NIEUWEGEIN</t>
  </si>
  <si>
    <t>DWCprint B.V.</t>
  </si>
  <si>
    <t>TINNEGIETER 58</t>
  </si>
  <si>
    <t>9502EX</t>
  </si>
  <si>
    <t>STADSKANAAL</t>
  </si>
  <si>
    <t>H.H.A. Reinders                     h.o.d.n. Taxi Reinders</t>
  </si>
  <si>
    <t>MORETTISTRAAT 87</t>
  </si>
  <si>
    <t>6291XE</t>
  </si>
  <si>
    <t>VAALS</t>
  </si>
  <si>
    <t>Autobedrijf Winters Weert B.V.</t>
  </si>
  <si>
    <t>KELVINSTRAAT 4</t>
  </si>
  <si>
    <t>6003DH</t>
  </si>
  <si>
    <t>WEERT</t>
  </si>
  <si>
    <t>DUIJVESTEIN LANDGRAAF B.V.</t>
  </si>
  <si>
    <t>WITTE WERELD 1</t>
  </si>
  <si>
    <t>6372VG</t>
  </si>
  <si>
    <t>ZOETERMEER</t>
  </si>
  <si>
    <t>Holding Be-One B.V.</t>
  </si>
  <si>
    <t>BEETHOVENSTRAAT 46 H</t>
  </si>
  <si>
    <t>1077JJ</t>
  </si>
  <si>
    <t>Riverhouse Trading Company B.V.</t>
  </si>
  <si>
    <t>SCHEGGERTDIJK 56</t>
  </si>
  <si>
    <t>7218NB</t>
  </si>
  <si>
    <t>ALMEN</t>
  </si>
  <si>
    <t>Verdaat Eindhoven Noord B.V.</t>
  </si>
  <si>
    <t>HEEMWEG 2</t>
  </si>
  <si>
    <t>5501GW</t>
  </si>
  <si>
    <t>Turfpoort B.V.                      h/o Garden Life Style</t>
  </si>
  <si>
    <t>BORCHWERF 35</t>
  </si>
  <si>
    <t>4704RG</t>
  </si>
  <si>
    <t>ROOSENDAAL</t>
  </si>
  <si>
    <t>Koonings Bruid &amp; Bruidegom B.V.</t>
  </si>
  <si>
    <t>DUKAAT 5 A</t>
  </si>
  <si>
    <t>5751PW</t>
  </si>
  <si>
    <t>DEURNE</t>
  </si>
  <si>
    <t>SALDEN ELECTRO B.V.</t>
  </si>
  <si>
    <t>LEONARD LANGWEG 6</t>
  </si>
  <si>
    <t>6121PA</t>
  </si>
  <si>
    <t>BORN</t>
  </si>
  <si>
    <t>J.C. BAMFORD N.V.</t>
  </si>
  <si>
    <t>ZANDWEISTRAAT 16</t>
  </si>
  <si>
    <t>4181CG</t>
  </si>
  <si>
    <t>WAARDENBURG</t>
  </si>
  <si>
    <t>Bikestyle B.V.</t>
  </si>
  <si>
    <t>RUMPENERSTRAAT 40 A</t>
  </si>
  <si>
    <t>6443CE</t>
  </si>
  <si>
    <t>GRIP Bandenservice</t>
  </si>
  <si>
    <t>KOUMENWEG 3</t>
  </si>
  <si>
    <t>6433KJ</t>
  </si>
  <si>
    <t>Siemens Nederland N.V.</t>
  </si>
  <si>
    <t>PRINSES BEATRIXLAAN 800</t>
  </si>
  <si>
    <t>2595BN</t>
  </si>
  <si>
    <t>'S-GRAVENHAGE</t>
  </si>
  <si>
    <t>GK Eurodienst B.V.</t>
  </si>
  <si>
    <t>JORIS HOENEVELDSTRAAT 9</t>
  </si>
  <si>
    <t>3065ND</t>
  </si>
  <si>
    <t>SMEZO HANDELSONDERNEMING B.V.</t>
  </si>
  <si>
    <t>6412PJ</t>
  </si>
  <si>
    <t>Autobedrijf Keram Heerlen B.V.</t>
  </si>
  <si>
    <t>TERHOEVENDERWEG 98</t>
  </si>
  <si>
    <t>6412ZJ</t>
  </si>
  <si>
    <t>Van Melick B.V.</t>
  </si>
  <si>
    <t>WIEBACHSTRAAT 33</t>
  </si>
  <si>
    <t>6466NG</t>
  </si>
  <si>
    <t>SnowWorld Leisure N.V.</t>
  </si>
  <si>
    <t>BUYTENPARKLAAN 30</t>
  </si>
  <si>
    <t>2717AX</t>
  </si>
  <si>
    <t>Valkenpower B.V.</t>
  </si>
  <si>
    <t>HAVERKAMP 11</t>
  </si>
  <si>
    <t>6051AC</t>
  </si>
  <si>
    <t>MAASBRACHT</t>
  </si>
  <si>
    <t>Toro Interior Design V.O.F.</t>
  </si>
  <si>
    <t>SINT PIETERSTRAAT 26</t>
  </si>
  <si>
    <t>6211JN</t>
  </si>
  <si>
    <t>Vivon Nederland B.V.</t>
  </si>
  <si>
    <t>EKKERSRIJT 4301</t>
  </si>
  <si>
    <t>5692DJ</t>
  </si>
  <si>
    <t>CHARLES VAN ELS BEHEER B.V.</t>
  </si>
  <si>
    <t>POSTSTRAAT 16</t>
  </si>
  <si>
    <t>6431HL</t>
  </si>
  <si>
    <t>BUDE BOUWMARKT MAASTRICHT WEST B.V.</t>
  </si>
  <si>
    <t>JNC Service B.V.</t>
  </si>
  <si>
    <t>PAKKETBOOT 27</t>
  </si>
  <si>
    <t>3991CH</t>
  </si>
  <si>
    <t>ROFRA MEUBELEN PROJECT B.V.</t>
  </si>
  <si>
    <t>GRIFTSEMOLENWEG 25</t>
  </si>
  <si>
    <t>8171NS</t>
  </si>
  <si>
    <t>VAASSEN</t>
  </si>
  <si>
    <t>Rijwielhandel Stienen V.O.F.        h/o Stienen Tweewielers</t>
  </si>
  <si>
    <t>RIJKSWEG NOORD 161</t>
  </si>
  <si>
    <t>6136AA</t>
  </si>
  <si>
    <t>Renders Tweewielers</t>
  </si>
  <si>
    <t>RIETHOVENSEWEG 16</t>
  </si>
  <si>
    <t>5524BB</t>
  </si>
  <si>
    <t>STEENSEL</t>
  </si>
  <si>
    <t>MotoXtra B.V.</t>
  </si>
  <si>
    <t>HABRAKEN 2601</t>
  </si>
  <si>
    <t>5507TR</t>
  </si>
  <si>
    <t>HERMPOST BV</t>
  </si>
  <si>
    <t>KERKEVELDSTRAAT 11</t>
  </si>
  <si>
    <t>6441BP</t>
  </si>
  <si>
    <t>Media Markt Amsterdam Centrum B.V.</t>
  </si>
  <si>
    <t>OOSTERDOKSKADE 67</t>
  </si>
  <si>
    <t>1011DL</t>
  </si>
  <si>
    <t>Haco Heerlen B.V.</t>
  </si>
  <si>
    <t>IN DE CRAMER 154</t>
  </si>
  <si>
    <t>Benzine Super Markt Rijckholt V.O.F.</t>
  </si>
  <si>
    <t>BRANDWEGSKE 4 6</t>
  </si>
  <si>
    <t>6247EH</t>
  </si>
  <si>
    <t>GRONSVELD</t>
  </si>
  <si>
    <t>Carel Lurvink B.V.</t>
  </si>
  <si>
    <t>MARSSTEDEN 40</t>
  </si>
  <si>
    <t>7547TC</t>
  </si>
  <si>
    <t>ENSCHEDE</t>
  </si>
  <si>
    <t>Motoport Den Bosch B.V.</t>
  </si>
  <si>
    <t>REITSCHEWEG 33</t>
  </si>
  <si>
    <t>5232BX</t>
  </si>
  <si>
    <t>'S-HERTOGENBOSCH</t>
  </si>
  <si>
    <t>BUDGET HOME STORE HEERLEN B.V.</t>
  </si>
  <si>
    <t>INDUSTRIESTRAAT 13</t>
  </si>
  <si>
    <t>5961PG</t>
  </si>
  <si>
    <t>HORST</t>
  </si>
  <si>
    <t>J.C.H. VAN ABEELEN                  H/O JvA Montage Service en Onderhoud</t>
  </si>
  <si>
    <t>GAGELSTRAAT 6</t>
  </si>
  <si>
    <t>5531CM</t>
  </si>
  <si>
    <t>BLADEL</t>
  </si>
  <si>
    <t>Bernard Herenmode B.V.</t>
  </si>
  <si>
    <t>LIMBRICHTERSTRAAT 38</t>
  </si>
  <si>
    <t>6131ED</t>
  </si>
  <si>
    <t>GORISSEN BEDRIJFSKEUKENS B.V.</t>
  </si>
  <si>
    <t>AKERSTEENWEG 16 20</t>
  </si>
  <si>
    <t>6227AA</t>
  </si>
  <si>
    <t>RETRAE-HEIJNENS V.O.F.</t>
  </si>
  <si>
    <t>KLIMMENDERSTRAAT 71 71A</t>
  </si>
  <si>
    <t>6343AB</t>
  </si>
  <si>
    <t>KLIMMEN</t>
  </si>
  <si>
    <t>Metro Cash &amp; Carry Nederland B.V.</t>
  </si>
  <si>
    <t>DE FLINESSTRAAT 9</t>
  </si>
  <si>
    <t>1114AL</t>
  </si>
  <si>
    <t>AMSTERDAM-DUIVENDRECHT</t>
  </si>
  <si>
    <t>Mafraba Motors B.V.</t>
  </si>
  <si>
    <t>HERVENSEBAAN 13 A</t>
  </si>
  <si>
    <t>5232JL</t>
  </si>
  <si>
    <t>Foto Broekhaus B.V.</t>
  </si>
  <si>
    <t>MARKTSTRAAT 10</t>
  </si>
  <si>
    <t>5401GH</t>
  </si>
  <si>
    <t>UDEN</t>
  </si>
  <si>
    <t>Camera Tools B.V.</t>
  </si>
  <si>
    <t>PARAMARIBOWEG 41</t>
  </si>
  <si>
    <t>7333PA</t>
  </si>
  <si>
    <t>APELDOORN</t>
  </si>
  <si>
    <t>Handelsonderneming R.S.S. Nederland B.V.</t>
  </si>
  <si>
    <t>BEERSDALWEG 95</t>
  </si>
  <si>
    <t>6412PE</t>
  </si>
  <si>
    <t>Tenax Lederwaren</t>
  </si>
  <si>
    <t>HERMANUS BOEXSTRAAT 18</t>
  </si>
  <si>
    <t>5611AJ</t>
  </si>
  <si>
    <t>Dragon Computers</t>
  </si>
  <si>
    <t>AKERSTRAAT 50</t>
  </si>
  <si>
    <t>6411HB</t>
  </si>
  <si>
    <t>Stein Vision @ Visors B.V.</t>
  </si>
  <si>
    <t>6171JC</t>
  </si>
  <si>
    <t>S.Olivier Benelux B.V.</t>
  </si>
  <si>
    <t>AMERIKALAAN 2</t>
  </si>
  <si>
    <t>6199AE</t>
  </si>
  <si>
    <t>CBS Automotive B.V.</t>
  </si>
  <si>
    <t>HUYGENSWEG 1</t>
  </si>
  <si>
    <t>5482TH</t>
  </si>
  <si>
    <t>Autobanden Beaujean Hoensbroek B.V.</t>
  </si>
  <si>
    <t>NOBELWEG 5</t>
  </si>
  <si>
    <t>6101XB</t>
  </si>
  <si>
    <t>Just Brands B.V.</t>
  </si>
  <si>
    <t>NEW YORKSTRAAT 50</t>
  </si>
  <si>
    <t>1175RD</t>
  </si>
  <si>
    <t>LIJNDEN</t>
  </si>
  <si>
    <t>Schmidt Zeevis Rotterdam B.V.</t>
  </si>
  <si>
    <t>MATLINGEWEG 333</t>
  </si>
  <si>
    <t>3044EV</t>
  </si>
  <si>
    <t>Motoport Wormerveer B.V.</t>
  </si>
  <si>
    <t>INDUSTRIEWEG 18</t>
  </si>
  <si>
    <t>1521ND</t>
  </si>
  <si>
    <t>WORMERVEER</t>
  </si>
  <si>
    <t>Coolblue B.V.</t>
  </si>
  <si>
    <t>WEENA 664</t>
  </si>
  <si>
    <t>3012CN</t>
  </si>
  <si>
    <t>V.O.F. Van Munster Fietsen</t>
  </si>
  <si>
    <t>EINDHOVENSEWEG 112</t>
  </si>
  <si>
    <t>5552AD</t>
  </si>
  <si>
    <t>VALKENSWAARD</t>
  </si>
  <si>
    <t>R.J.P.Maas h/o Auto Plus Limburg</t>
  </si>
  <si>
    <t>GROOT-HAASDAL 6</t>
  </si>
  <si>
    <t>6333AW</t>
  </si>
  <si>
    <t>Straluma B.V.</t>
  </si>
  <si>
    <t>ZEEMANSTRAAT 17</t>
  </si>
  <si>
    <t>2991XR</t>
  </si>
  <si>
    <t>BARENDRECHT</t>
  </si>
  <si>
    <t>AUTO BIERMANS HEERLEN B.V.</t>
  </si>
  <si>
    <t>TERHOEVENDERWEG 99</t>
  </si>
  <si>
    <t>ROLAND OOSTWEGEL GOUDSMID</t>
  </si>
  <si>
    <t>GELEENSTRAAT 55</t>
  </si>
  <si>
    <t>6411HR</t>
  </si>
  <si>
    <t>AUTOBEDRIJF NIESING</t>
  </si>
  <si>
    <t>REMBRANDTSTRAAT 60 A</t>
  </si>
  <si>
    <t>6445CX</t>
  </si>
  <si>
    <t>KOENEN S AUTOBEDRIJF B.V.</t>
  </si>
  <si>
    <t>VOLTAWEG 5</t>
  </si>
  <si>
    <t>6101XK</t>
  </si>
  <si>
    <t>Babypark Kesteren B.V.</t>
  </si>
  <si>
    <t>HOGEVELDSEWEG 2</t>
  </si>
  <si>
    <t>4041CP</t>
  </si>
  <si>
    <t>KESTEREN</t>
  </si>
  <si>
    <t>Bike Service Eijsden V.O.F.</t>
  </si>
  <si>
    <t>WILHELMINASTRAAT 84</t>
  </si>
  <si>
    <t>6245AX</t>
  </si>
  <si>
    <t>EIJSDEN</t>
  </si>
  <si>
    <t>A-MAC B.V.</t>
  </si>
  <si>
    <t>PROOSTWETERING 13</t>
  </si>
  <si>
    <t>3543AB</t>
  </si>
  <si>
    <t>KASS-PIERRE KENNIS B.V.</t>
  </si>
  <si>
    <t>AMBACHTSWEG 9</t>
  </si>
  <si>
    <t>5531AC</t>
  </si>
  <si>
    <t>Ivizi XL B.V.</t>
  </si>
  <si>
    <t>MOLENSINGEL 25</t>
  </si>
  <si>
    <t>6229PB</t>
  </si>
  <si>
    <t>Engie Nederland Retail B.V.</t>
  </si>
  <si>
    <t>GROTE VOORT 291</t>
  </si>
  <si>
    <t>8041BL</t>
  </si>
  <si>
    <t>P.G.F.M. KRUTZEN                    h.o.d.n. Paul Krutzen               Hoveniersbedrijf</t>
  </si>
  <si>
    <t>JUPITERSTRAAT 78</t>
  </si>
  <si>
    <t>6446RZ</t>
  </si>
  <si>
    <t>MotoPort Veldhoven B.V.</t>
  </si>
  <si>
    <t>DE RUN 5202</t>
  </si>
  <si>
    <t>5504DC</t>
  </si>
  <si>
    <t>Babboe B.V.</t>
  </si>
  <si>
    <t>KOEDIJKERWEG 12 A</t>
  </si>
  <si>
    <t>3816BV</t>
  </si>
  <si>
    <t>AMERSFOORT</t>
  </si>
  <si>
    <t>V.O.F. Garage Ypenburg</t>
  </si>
  <si>
    <t>HENRICUSKADE 47 A</t>
  </si>
  <si>
    <t>2497NB</t>
  </si>
  <si>
    <t>Forax B.V.</t>
  </si>
  <si>
    <t>JAN PIETERSZ. COENSTRAAT 7</t>
  </si>
  <si>
    <t>2595WP</t>
  </si>
  <si>
    <t>Electric Lifestyle</t>
  </si>
  <si>
    <t>MGR. BUCKXSTRAAT 8</t>
  </si>
  <si>
    <t>6134AP</t>
  </si>
  <si>
    <t>Mister Brown Concept B.V.</t>
  </si>
  <si>
    <t>NIEUWE EMMASINGEL 16</t>
  </si>
  <si>
    <t>5611AM</t>
  </si>
  <si>
    <t>V.O.F. REKERS TWEEWIELERS</t>
  </si>
  <si>
    <t>KOUVENDERSTRAAT 181</t>
  </si>
  <si>
    <t>6431HE</t>
  </si>
  <si>
    <t>P. van der Lep h.o.d.n. Koelmans &amp;  Van der Lep</t>
  </si>
  <si>
    <t>NIEUWESTAD 101</t>
  </si>
  <si>
    <t>8911CM</t>
  </si>
  <si>
    <t>LEEUWARDEN</t>
  </si>
  <si>
    <t>Pronto Wonen Eindhoven B.V.</t>
  </si>
  <si>
    <t>UDENSEWEG 5</t>
  </si>
  <si>
    <t>5405PA</t>
  </si>
  <si>
    <t>LandgraafVision@Visors B.V.</t>
  </si>
  <si>
    <t>6371LJ</t>
  </si>
  <si>
    <t>Landgraaf</t>
  </si>
  <si>
    <t>F.X.H.M.J. SCHORMANS                H/O EXPERT LANDGRAAF</t>
  </si>
  <si>
    <t>6374GG</t>
  </si>
  <si>
    <t>Royal Coster Diamonds B.V.</t>
  </si>
  <si>
    <t>PAULUS POTTERSTRAAT 2</t>
  </si>
  <si>
    <t>1071CZ</t>
  </si>
  <si>
    <t>Ben van Tienen</t>
  </si>
  <si>
    <t>PUTTELAAR 12</t>
  </si>
  <si>
    <t>5411BE</t>
  </si>
  <si>
    <t>ZEELAND</t>
  </si>
  <si>
    <t>Cro-Tech B.V.</t>
  </si>
  <si>
    <t>ZOERBEEMDEN 8</t>
  </si>
  <si>
    <t>6245LR</t>
  </si>
  <si>
    <t>New Office Centre B.V.</t>
  </si>
  <si>
    <t>JOOL-HULSTRAAT 24</t>
  </si>
  <si>
    <t>1327HA</t>
  </si>
  <si>
    <t>ALMERE</t>
  </si>
  <si>
    <t>Tuincentrum Schmitz B.V.</t>
  </si>
  <si>
    <t>HERKENBOSSERWEG 2</t>
  </si>
  <si>
    <t>6063NL</t>
  </si>
  <si>
    <t>VLODROP</t>
  </si>
  <si>
    <t>Media Markt Utrecht The Wall  B.V.</t>
  </si>
  <si>
    <t>HERTOGSWETERING 187</t>
  </si>
  <si>
    <t>3543AS</t>
  </si>
  <si>
    <t>BUDE BOUWMARKT MAASTRICHT OOST B.V.</t>
  </si>
  <si>
    <t>OOSTERMAASWEG 3</t>
  </si>
  <si>
    <t>6226VJ</t>
  </si>
  <si>
    <t>V.O.F. Tweewielerbedrijf Wim de Wilt</t>
  </si>
  <si>
    <t>VIOLIERSTRAAT 13</t>
  </si>
  <si>
    <t>5402LA</t>
  </si>
  <si>
    <t>Loake Shoemakers Retail B.V.</t>
  </si>
  <si>
    <t>STOKSTRAAT 15</t>
  </si>
  <si>
    <t>6211GB</t>
  </si>
  <si>
    <t>LEON MARTENS B.V.</t>
  </si>
  <si>
    <t>STATIONSSTRAAT 39 41</t>
  </si>
  <si>
    <t>Wieringa-Willems V.O.F.</t>
  </si>
  <si>
    <t>6131EA</t>
  </si>
  <si>
    <t>Feruton B.V.</t>
  </si>
  <si>
    <t>MARCONIWEG 2 C</t>
  </si>
  <si>
    <t>4131PD</t>
  </si>
  <si>
    <t>VIANEN UT</t>
  </si>
  <si>
    <t>VAN CRANENBROEK BUDEL B.V.</t>
  </si>
  <si>
    <t>RANDWEG-ZUID 8</t>
  </si>
  <si>
    <t>6021PW</t>
  </si>
  <si>
    <t>BUDEL</t>
  </si>
  <si>
    <t>M.W.M. Schmidt-Tapken h/o           SXT - Service X Technics</t>
  </si>
  <si>
    <t>PURMERWEG 46</t>
  </si>
  <si>
    <t>1441RC</t>
  </si>
  <si>
    <t>PURMEREND</t>
  </si>
  <si>
    <t>Van TIl Interieur B.V.</t>
  </si>
  <si>
    <t>NOORDERKADE 1038</t>
  </si>
  <si>
    <t>1823CJ</t>
  </si>
  <si>
    <t>Matinspired</t>
  </si>
  <si>
    <t>Ericssonstraat 2 Gate2 Aeropa</t>
  </si>
  <si>
    <t>5121ML</t>
  </si>
  <si>
    <t>Rijen</t>
  </si>
  <si>
    <t>Schaap en Citroen B.V.</t>
  </si>
  <si>
    <t>DIEMERHOF 10 A</t>
  </si>
  <si>
    <t>1112XN</t>
  </si>
  <si>
    <t>DIEMEN</t>
  </si>
  <si>
    <t>ItalDax B.V.</t>
  </si>
  <si>
    <t>3526AM</t>
  </si>
  <si>
    <t>KIKI NIESTEN HOLDING B.V.</t>
  </si>
  <si>
    <t>STOKSTRAAT 32</t>
  </si>
  <si>
    <t>6211GD</t>
  </si>
  <si>
    <t>HANSEN LINNE BEHEER B.V.</t>
  </si>
  <si>
    <t>VEESTRAAT 6</t>
  </si>
  <si>
    <t>6067AS</t>
  </si>
  <si>
    <t>LINNE</t>
  </si>
  <si>
    <t>Kicken Tuinmeubelen</t>
  </si>
  <si>
    <t>OESLINGERSTRAAT 11</t>
  </si>
  <si>
    <t>6247BC</t>
  </si>
  <si>
    <t>B.V. Korthofah</t>
  </si>
  <si>
    <t>LAGEWEG 39</t>
  </si>
  <si>
    <t>2222AG</t>
  </si>
  <si>
    <t>KATWIJK ZH</t>
  </si>
  <si>
    <t>Ecolab B.V.</t>
  </si>
  <si>
    <t>IEPENHOEVE 7 A</t>
  </si>
  <si>
    <t>3438MR</t>
  </si>
  <si>
    <t>De Slaapzaak B.V.</t>
  </si>
  <si>
    <t>HUISWAARDERPLEIN 11 C</t>
  </si>
  <si>
    <t>1823CP</t>
  </si>
  <si>
    <t>V.O.F. Eurobed</t>
  </si>
  <si>
    <t>BRUSSELSESTRAAT 45</t>
  </si>
  <si>
    <t>6211PB</t>
  </si>
  <si>
    <t>D-Tech</t>
  </si>
  <si>
    <t>DORPSTRAAT 67</t>
  </si>
  <si>
    <t>6441CC</t>
  </si>
  <si>
    <t>Arie Molenaar Motors B.V.</t>
  </si>
  <si>
    <t>EINSTEINWEG 4</t>
  </si>
  <si>
    <t>3404LK</t>
  </si>
  <si>
    <t>IJSSELSTEIN UT</t>
  </si>
  <si>
    <t>A.C. DIEDEREN                       H/O ART GALLERY DION</t>
  </si>
  <si>
    <t>EYGELSHOVERGRACHT 11</t>
  </si>
  <si>
    <t>6464GA</t>
  </si>
  <si>
    <t>V.O.F. AVH Outdoor</t>
  </si>
  <si>
    <t>INDUSTRIESTRAAT 11</t>
  </si>
  <si>
    <t>3281LB</t>
  </si>
  <si>
    <t>NUMANSDORP</t>
  </si>
  <si>
    <t>BOUWMARKT STEIN B.V.</t>
  </si>
  <si>
    <t>Heffiq Holding B.V.</t>
  </si>
  <si>
    <t>WITBOOM 1</t>
  </si>
  <si>
    <t>4131PL</t>
  </si>
  <si>
    <t>Media Markt Zwolle B.V.</t>
  </si>
  <si>
    <t>MAAGJESBOLWERK 44</t>
  </si>
  <si>
    <t>8011LL</t>
  </si>
  <si>
    <t>Noordhuis Den Helder B.V.</t>
  </si>
  <si>
    <t>INDUSTRIEWEG 27</t>
  </si>
  <si>
    <t>1785AG</t>
  </si>
  <si>
    <t>Timmermans Tuinmeubelen B.V.</t>
  </si>
  <si>
    <t>SINT JOZEFWEG 66</t>
  </si>
  <si>
    <t>5953JP</t>
  </si>
  <si>
    <t>REUVER</t>
  </si>
  <si>
    <t>Heffiq Heftruck Verhuur B.V.</t>
  </si>
  <si>
    <t>Ven Clean Care</t>
  </si>
  <si>
    <t>DEKEN BAEKERSSTRAAT 104</t>
  </si>
  <si>
    <t>5482JJ</t>
  </si>
  <si>
    <t>Kamera Express Eindhoven BV</t>
  </si>
  <si>
    <t>STRATUMSEDIJK 32</t>
  </si>
  <si>
    <t>5611NE</t>
  </si>
  <si>
    <t>Janssen Kerres Automotive B.V.</t>
  </si>
  <si>
    <t>KRUISAKKER 14</t>
  </si>
  <si>
    <t>5674TZ</t>
  </si>
  <si>
    <t>SUZANNE 'S LITERIE V.O.F.</t>
  </si>
  <si>
    <t>ANNASTRAAT 16</t>
  </si>
  <si>
    <t>6161GX</t>
  </si>
  <si>
    <t>PLAN UW KANTOOR V.O.F.</t>
  </si>
  <si>
    <t>KERKSTRAAT 326</t>
  </si>
  <si>
    <t>6441BN</t>
  </si>
  <si>
    <t>WeMobile Retail B.V.</t>
  </si>
  <si>
    <t>KLOKGEBOUW 193</t>
  </si>
  <si>
    <t>5617AB</t>
  </si>
  <si>
    <t>Hoveniers-en Bloemisterijbedrijf    Hollanders B.V.</t>
  </si>
  <si>
    <t>HUMCOVERSTRAAT 134 A</t>
  </si>
  <si>
    <t>6231JS</t>
  </si>
  <si>
    <t>Meia Markt Den Haag B.V.</t>
  </si>
  <si>
    <t>GROTE MARKTSTRAAT 17 37</t>
  </si>
  <si>
    <t>2511BH</t>
  </si>
  <si>
    <t>V.O.F. Banden Centrum Nuth</t>
  </si>
  <si>
    <t>INDUSTRIESTRAAT 14</t>
  </si>
  <si>
    <t>6361HD</t>
  </si>
  <si>
    <t>NUTH</t>
  </si>
  <si>
    <t>Bang &amp; Olufsen Center               Eindhoven B.V.</t>
  </si>
  <si>
    <t>AALSTERWEG 68</t>
  </si>
  <si>
    <t>5615CH</t>
  </si>
  <si>
    <t>The Society Shop B.V</t>
  </si>
  <si>
    <t>C. VEROLMELAAN 160</t>
  </si>
  <si>
    <t>1422ZB</t>
  </si>
  <si>
    <t>UITHOORN</t>
  </si>
  <si>
    <t>Media Markt Bergen op Zoom B.V.</t>
  </si>
  <si>
    <t>BURG VAN HASSELTSTRAAT 3</t>
  </si>
  <si>
    <t>4611BG</t>
  </si>
  <si>
    <t>BERGEN OP ZOOM</t>
  </si>
  <si>
    <t>Kembit B.V.</t>
  </si>
  <si>
    <t>OPFERGELTSTRAAT 2</t>
  </si>
  <si>
    <t>6363BW</t>
  </si>
  <si>
    <t>WIJNANDSRADE</t>
  </si>
  <si>
    <t>DMG Meubelen B.V.</t>
  </si>
  <si>
    <t>HAVENWEG 30</t>
  </si>
  <si>
    <t>5145NJ</t>
  </si>
  <si>
    <t>WAALWIJK</t>
  </si>
  <si>
    <t>Automotive Service Centrum B.V.</t>
  </si>
  <si>
    <t>OPENBARE GOLF BRUNSSUMMERHEIDE B.V.</t>
  </si>
  <si>
    <t>RIMBURGERWEG 52</t>
  </si>
  <si>
    <t>6445PA</t>
  </si>
  <si>
    <t>F. Nieuwenhuijs                     h/o Laska Computers</t>
  </si>
  <si>
    <t>ALETTA JACOBSLAAN 3</t>
  </si>
  <si>
    <t>1277CP</t>
  </si>
  <si>
    <t>HUIZEN</t>
  </si>
  <si>
    <t>Centralpoint Amstelveen B.V.</t>
  </si>
  <si>
    <t>VAN HEUVEN GOEDHARTLAAN 121</t>
  </si>
  <si>
    <t>1181KK</t>
  </si>
  <si>
    <t>AMSTELVEEN</t>
  </si>
  <si>
    <t>V.O.F. BIJ D-R MATHIEU</t>
  </si>
  <si>
    <t>RIJKSWEG 68</t>
  </si>
  <si>
    <t>6267AH</t>
  </si>
  <si>
    <t>CADIER EN KEER</t>
  </si>
  <si>
    <t>R.H.H. Van Straten                  h/o Bloemsierkunst Ogenlust</t>
  </si>
  <si>
    <t>AKERSTRAAT-NOORD 94</t>
  </si>
  <si>
    <t>6431HP</t>
  </si>
  <si>
    <t>BETER MEUBEL B.V.</t>
  </si>
  <si>
    <t>Interconnect Services B.V.</t>
  </si>
  <si>
    <t>DE STEENBOK 1</t>
  </si>
  <si>
    <t>5215MG</t>
  </si>
  <si>
    <t>Gelissen 2-Wielers</t>
  </si>
  <si>
    <t>PELDENSTRAAT 10 A</t>
  </si>
  <si>
    <t>6171XX</t>
  </si>
  <si>
    <t>STEIN LB</t>
  </si>
  <si>
    <t>G. Kalemkus h/o Odysse</t>
  </si>
  <si>
    <t>RECHTSTRAAT 92</t>
  </si>
  <si>
    <t>6221EL</t>
  </si>
  <si>
    <t>P.A. Mundy                          h/o The Pilot Shop</t>
  </si>
  <si>
    <t>ARENDWEG 37 C</t>
  </si>
  <si>
    <t>8218PE</t>
  </si>
  <si>
    <t>LELYSTAD</t>
  </si>
  <si>
    <t>Beds &amp; Bedding Zaandam B.V.</t>
  </si>
  <si>
    <t>PIETER GHIJSENLAAN 17</t>
  </si>
  <si>
    <t>1506PW</t>
  </si>
  <si>
    <t>ZAANDAM</t>
  </si>
  <si>
    <t>Limpens Beheer B.V.</t>
  </si>
  <si>
    <t>GELEENSTRAAT 34 36</t>
  </si>
  <si>
    <t>6411HS</t>
  </si>
  <si>
    <t>Zuydfiets Mindconcepts</t>
  </si>
  <si>
    <t>AMBYERSTRAAT NOORD 48 A</t>
  </si>
  <si>
    <t>6225EE</t>
  </si>
  <si>
    <t>Hubicar</t>
  </si>
  <si>
    <t>LOCHT 36 A</t>
  </si>
  <si>
    <t>6466GW</t>
  </si>
  <si>
    <t>Tweewielerspecialist de Beente V.O.F</t>
  </si>
  <si>
    <t>MOLENSINGEL 19</t>
  </si>
  <si>
    <t>R.M. RIDDERING</t>
  </si>
  <si>
    <t>SCHELSBERG 56</t>
  </si>
  <si>
    <t>6413AG</t>
  </si>
  <si>
    <t>Brilmij Groep B.V.</t>
  </si>
  <si>
    <t>AMERSFOORTSESTRAAT 84 A</t>
  </si>
  <si>
    <t>3769AM</t>
  </si>
  <si>
    <t>SOESTERBERG</t>
  </si>
  <si>
    <t>R.H.F.C. VAN BEZEL</t>
  </si>
  <si>
    <t>PRINSENBAAN 176</t>
  </si>
  <si>
    <t>6104RS</t>
  </si>
  <si>
    <t>KONINGSBOSCH</t>
  </si>
  <si>
    <t>Roost Olie B.V.</t>
  </si>
  <si>
    <t>VENLOSEWEG 1</t>
  </si>
  <si>
    <t>6031ST</t>
  </si>
  <si>
    <t>NEDERWEERT</t>
  </si>
  <si>
    <t>J.H.M. Smeets                       h/o Lopers Company Maastricht</t>
  </si>
  <si>
    <t>SCHARNERWEG 67 A</t>
  </si>
  <si>
    <t>6224JB</t>
  </si>
  <si>
    <t>MEDIA MARKT MAASTRICHT B.V.</t>
  </si>
  <si>
    <t>FRANCISCUS ROMANUSWEG 2 C</t>
  </si>
  <si>
    <t>6221AE</t>
  </si>
  <si>
    <t>Solid Solution Designs</t>
  </si>
  <si>
    <t>NAALDWIJKSEWEG 76 UNIT C-8</t>
  </si>
  <si>
    <t>2291PA</t>
  </si>
  <si>
    <t>WATERINGEN</t>
  </si>
  <si>
    <t>Live Legends B.V.</t>
  </si>
  <si>
    <t>HOLLANDSE KADE 25</t>
  </si>
  <si>
    <t>1391JD</t>
  </si>
  <si>
    <t>ABCOUDE</t>
  </si>
  <si>
    <t>Foto Bouw B.V.</t>
  </si>
  <si>
    <t>MEANDER 651</t>
  </si>
  <si>
    <t>6825ME</t>
  </si>
  <si>
    <t>DFS Trading Ltd</t>
  </si>
  <si>
    <t>1 ROCKINGHAM WAY REDHOUSE INTERCHAN</t>
  </si>
  <si>
    <t>DN6 7NA</t>
  </si>
  <si>
    <t>DONCASTER</t>
  </si>
  <si>
    <t>Aragorn B.V.</t>
  </si>
  <si>
    <t>BEDRIJVENWEG 7</t>
  </si>
  <si>
    <t>5627BW</t>
  </si>
  <si>
    <t>De Slaapkop B.V.</t>
  </si>
  <si>
    <t>TENIERSLAAN 7</t>
  </si>
  <si>
    <t>5613DZ</t>
  </si>
  <si>
    <t>ASV Automobielbedrijven B.V.</t>
  </si>
  <si>
    <t>HEUVELPLEIN 3</t>
  </si>
  <si>
    <t>5463XG</t>
  </si>
  <si>
    <t>Ter Horst Limburg V.O.F.</t>
  </si>
  <si>
    <t>WENCKEBACHSTRAAT 13</t>
  </si>
  <si>
    <t>6372TV</t>
  </si>
  <si>
    <t>AUTOBEDRIJF VAASSEN C.V.</t>
  </si>
  <si>
    <t>6171CS</t>
  </si>
  <si>
    <t>AMERICAN CARS SCHIMMERT B.V.</t>
  </si>
  <si>
    <t>BREINDERVELDWEG 1</t>
  </si>
  <si>
    <t>6365CM</t>
  </si>
  <si>
    <t>SCHINNEN</t>
  </si>
  <si>
    <t>V.O.F. Fameus Wonen</t>
  </si>
  <si>
    <t>INDUSTRIEWEG 7</t>
  </si>
  <si>
    <t>CARPET-LAND B.V.</t>
  </si>
  <si>
    <t>FRANCISCUSDREEF 60</t>
  </si>
  <si>
    <t>3565AC</t>
  </si>
  <si>
    <t>V.O.F. Smart Cloud Facilities</t>
  </si>
  <si>
    <t>SPARRENLAAN 16</t>
  </si>
  <si>
    <t>5553DA</t>
  </si>
  <si>
    <t>Ploemen Interieur B.V.</t>
  </si>
  <si>
    <t>RIJKSWEG NOORD 175</t>
  </si>
  <si>
    <t>6136AB</t>
  </si>
  <si>
    <t>2-Wielers Hensels</t>
  </si>
  <si>
    <t>OVERSTRAAT 16</t>
  </si>
  <si>
    <t>6151CN</t>
  </si>
  <si>
    <t>MUNSTERGELEEN</t>
  </si>
  <si>
    <t>Van Driel Autobedrijf B.V.</t>
  </si>
  <si>
    <t>BOXTELSEWEG 48</t>
  </si>
  <si>
    <t>5298VC</t>
  </si>
  <si>
    <t>LIEMPDE</t>
  </si>
  <si>
    <t>Trotec Laser B.V.</t>
  </si>
  <si>
    <t>TOLSTRAAT 21 A</t>
  </si>
  <si>
    <t>7482DC</t>
  </si>
  <si>
    <t>HAAKSBERGEN</t>
  </si>
  <si>
    <t>PIETER WATERVOORT OPTICIEN V.O.F.</t>
  </si>
  <si>
    <t>SCHIFFELERSTRAAT 4</t>
  </si>
  <si>
    <t>6441CN</t>
  </si>
  <si>
    <t>City Foto Digitaal Eindhoven B.V.</t>
  </si>
  <si>
    <t>STRATUMSEDIJK 3</t>
  </si>
  <si>
    <t>5611NA</t>
  </si>
  <si>
    <t>WOONMEKKA B.V.</t>
  </si>
  <si>
    <t>IN DE CRAMER 68 A</t>
  </si>
  <si>
    <t>Motoport Echt B.V.</t>
  </si>
  <si>
    <t>EDISONWEG 33</t>
  </si>
  <si>
    <t>6101XJ</t>
  </si>
  <si>
    <t>Kappe Logistics B.V.</t>
  </si>
  <si>
    <t>HOEKSTEEN 57</t>
  </si>
  <si>
    <t>2132MT</t>
  </si>
  <si>
    <t>HOOFDDORP</t>
  </si>
  <si>
    <t>CCV Group B.V.</t>
  </si>
  <si>
    <t>WESTERVOORTSEDIJK 55</t>
  </si>
  <si>
    <t>6827AT</t>
  </si>
  <si>
    <t>M.J.H. DIDDEN                       h/o Mardid</t>
  </si>
  <si>
    <t>KERKSTRAAT 24</t>
  </si>
  <si>
    <t>6441BE</t>
  </si>
  <si>
    <t>V.O.F. Star Events</t>
  </si>
  <si>
    <t>SCHANDELERSTRAAT 22</t>
  </si>
  <si>
    <t>6412XN</t>
  </si>
  <si>
    <t>VAN ENCKEVORT GROOTHANDEL B.V.</t>
  </si>
  <si>
    <t>5928NB</t>
  </si>
  <si>
    <t>AUTOBEDRIJF VAN DEN UDENHOUT B.V.</t>
  </si>
  <si>
    <t>BALKWEG 1</t>
  </si>
  <si>
    <t>5232BT</t>
  </si>
  <si>
    <t>Autoservice Sittard</t>
  </si>
  <si>
    <t>6135KL</t>
  </si>
  <si>
    <t>WOONSQUARE BV</t>
  </si>
  <si>
    <t>EUROPALAAN 24</t>
  </si>
  <si>
    <t>5121DJ</t>
  </si>
  <si>
    <t>RIJEN</t>
  </si>
  <si>
    <t>Impressive Solutions B.V.</t>
  </si>
  <si>
    <t>NEON 25</t>
  </si>
  <si>
    <t>4751XA</t>
  </si>
  <si>
    <t>OUD GASTEL</t>
  </si>
  <si>
    <t>AUTOBEDRIJF MB B.V.</t>
  </si>
  <si>
    <t>HOUSERVELD 2</t>
  </si>
  <si>
    <t>6441TA</t>
  </si>
  <si>
    <t>V.O.F. BENLY</t>
  </si>
  <si>
    <t>LAURASTRAAT 51</t>
  </si>
  <si>
    <t>6471JH</t>
  </si>
  <si>
    <t>EYGELSHOVEN</t>
  </si>
  <si>
    <t>HANNEMAN B.V.</t>
  </si>
  <si>
    <t>STRIJTHAGENWEG 125</t>
  </si>
  <si>
    <t>6467BR</t>
  </si>
  <si>
    <t>VAESSEN B.V.</t>
  </si>
  <si>
    <t>ORANJE NASSAUSTRAAT 1 A</t>
  </si>
  <si>
    <t>6411LD</t>
  </si>
  <si>
    <t>V.O.F. NOVASCREEN</t>
  </si>
  <si>
    <t>NIJVERHEIDSSTRAAT 8</t>
  </si>
  <si>
    <t>6135KJ</t>
  </si>
  <si>
    <t>X2O Badkamers B.V.</t>
  </si>
  <si>
    <t>TINNEGIETERSTRAAT 22</t>
  </si>
  <si>
    <t>5232BM</t>
  </si>
  <si>
    <t>W. GELISSEN                         H/O E-BIKE Limburg</t>
  </si>
  <si>
    <t>6411JM</t>
  </si>
  <si>
    <t>Digital Revolution B.V.</t>
  </si>
  <si>
    <t>NIEUW WALDEN 56</t>
  </si>
  <si>
    <t>1394PC</t>
  </si>
  <si>
    <t>NEDERHORST DEN BERG</t>
  </si>
  <si>
    <t>Mi Casa Valkenburg B.V.</t>
  </si>
  <si>
    <t>SINT PIETERSTRAAT 15</t>
  </si>
  <si>
    <t>6301DP</t>
  </si>
  <si>
    <t>Rohde &amp; Grahl B.V.</t>
  </si>
  <si>
    <t>BASICWEG 22</t>
  </si>
  <si>
    <t>3821BR</t>
  </si>
  <si>
    <t>Boonman Beddenspeciaalzaak Eindhoven/Ekkersrijt B.V.</t>
  </si>
  <si>
    <t>EKKERSRIJT 4123</t>
  </si>
  <si>
    <t>5692DD</t>
  </si>
  <si>
    <t>V.O.F. NAAIMACHINEHANDEL ERENS</t>
  </si>
  <si>
    <t>WILHELMINASTRAAT 1 B</t>
  </si>
  <si>
    <t>6441AD</t>
  </si>
  <si>
    <t>Henri's Power Transmissies</t>
  </si>
  <si>
    <t>MARCONISTRAAT 30</t>
  </si>
  <si>
    <t>6372PN</t>
  </si>
  <si>
    <t>V.O.F. J. Crijns</t>
  </si>
  <si>
    <t>KOUVENDERSTRAAT 40</t>
  </si>
  <si>
    <t>6431HG</t>
  </si>
  <si>
    <t>V.O.F. E.H.T.G. Stevens             h.o.d.n. Stevens                    Schoenenspeciaalcentre</t>
  </si>
  <si>
    <t>DORPSSTRAAT 27</t>
  </si>
  <si>
    <t>6365BH</t>
  </si>
  <si>
    <t>A. DOVENS MEUBELEN B.V.</t>
  </si>
  <si>
    <t>KERKEIND 38</t>
  </si>
  <si>
    <t>5763BC</t>
  </si>
  <si>
    <t>MILHEEZE</t>
  </si>
  <si>
    <t>Optics-World</t>
  </si>
  <si>
    <t>OOSTWIJK 1 G 8</t>
  </si>
  <si>
    <t>5406XT</t>
  </si>
  <si>
    <t>Nijha B.V.</t>
  </si>
  <si>
    <t>HANZEWEG 2</t>
  </si>
  <si>
    <t>7241CR</t>
  </si>
  <si>
    <t>LOCHEM</t>
  </si>
  <si>
    <t>Taxibedrijf van Meurs Maastricht B.V</t>
  </si>
  <si>
    <t>WAALBROEK 5</t>
  </si>
  <si>
    <t>6369TE</t>
  </si>
  <si>
    <t>De Kampeermarkt B.V.</t>
  </si>
  <si>
    <t>HERAULTLAAN 86</t>
  </si>
  <si>
    <t>5627DR</t>
  </si>
  <si>
    <t>Vermeulen Eibergen B.V.</t>
  </si>
  <si>
    <t>VENNESLATWEG 2</t>
  </si>
  <si>
    <t>7151HD</t>
  </si>
  <si>
    <t>EIBERGEN</t>
  </si>
  <si>
    <t>V.O.F. DE GOUDEN BRIL</t>
  </si>
  <si>
    <t>RUMPENERSTRAAT 29</t>
  </si>
  <si>
    <t>6443CB</t>
  </si>
  <si>
    <t>Bike Totaal Brandhof Bikes V.O.F.</t>
  </si>
  <si>
    <t>BRANDHOFSTRAAT 7</t>
  </si>
  <si>
    <t>6372KA</t>
  </si>
  <si>
    <t>Picasse Internet &amp; Mobile B.V.</t>
  </si>
  <si>
    <t>BOTTERSTRAAT 47</t>
  </si>
  <si>
    <t>1271XL</t>
  </si>
  <si>
    <t>Brunssum Specsavers B.V.</t>
  </si>
  <si>
    <t>'T WINKELCENTRUM 5 A</t>
  </si>
  <si>
    <t>AUTOMOBIELBEDRIJF J. KALLEN B.V.</t>
  </si>
  <si>
    <t>RIJKSWEG ZUID 320</t>
  </si>
  <si>
    <t>6161BZ</t>
  </si>
  <si>
    <t>T.W.M. Engelen h/o dvbn</t>
  </si>
  <si>
    <t>EDISONWEG 18</t>
  </si>
  <si>
    <t>1821BN</t>
  </si>
  <si>
    <t>Technische Groothandel Frige B.V.</t>
  </si>
  <si>
    <t>IN DE CRAMER 10</t>
  </si>
  <si>
    <t>6411RS</t>
  </si>
  <si>
    <t>Start People B.V.</t>
  </si>
  <si>
    <t>P.J. OUDWEG 61</t>
  </si>
  <si>
    <t>1314CK</t>
  </si>
  <si>
    <t>Bowl-Easy B.V.</t>
  </si>
  <si>
    <t>RUTHERFORD 80</t>
  </si>
  <si>
    <t>6422RE</t>
  </si>
  <si>
    <t>Lemmens Maastricht B.V.</t>
  </si>
  <si>
    <t>AVENUE CERAMIQUE 175</t>
  </si>
  <si>
    <t>6221KX</t>
  </si>
  <si>
    <t>Autobedrijf Van Bree</t>
  </si>
  <si>
    <t>HAEFLAND 31 B</t>
  </si>
  <si>
    <t>K9-Factory by Verschoorpak</t>
  </si>
  <si>
    <t>5066BB</t>
  </si>
  <si>
    <t>Moergestel</t>
  </si>
  <si>
    <t>Spitz B.V. h/o Giant Store Eindhoven</t>
  </si>
  <si>
    <t>TONGELRESESTRAAT 250</t>
  </si>
  <si>
    <t>5613DV</t>
  </si>
  <si>
    <t>Handelsonderneming Marsael B.V.</t>
  </si>
  <si>
    <t>BENZENRADERWEG 22</t>
  </si>
  <si>
    <t>6411ED</t>
  </si>
  <si>
    <t>Toyota Material Handling Nederland  B.V.</t>
  </si>
  <si>
    <t>STEVINLAAN 4</t>
  </si>
  <si>
    <t>6716WB</t>
  </si>
  <si>
    <t>EDE GLD</t>
  </si>
  <si>
    <t>Helder Vastgoed B.V.</t>
  </si>
  <si>
    <t>MIDDENWEG 159</t>
  </si>
  <si>
    <t>1782BE</t>
  </si>
  <si>
    <t>HURKX MOTOREN &amp; SCOOTERS V.O.F.</t>
  </si>
  <si>
    <t>BOSCHDIJK 1039</t>
  </si>
  <si>
    <t>5626AD</t>
  </si>
  <si>
    <t>Sohome B.V.</t>
  </si>
  <si>
    <t>ANTHONIE FOKKERSTRAAT 14</t>
  </si>
  <si>
    <t>3772MR</t>
  </si>
  <si>
    <t>BARNEVELD</t>
  </si>
  <si>
    <t>Ikke Kids V.O.F.</t>
  </si>
  <si>
    <t>PAGANINIPASSAGE 13</t>
  </si>
  <si>
    <t>WINKELBEDRIJF VROMEN B.V.</t>
  </si>
  <si>
    <t>'T WINKELCENTRUM 10</t>
  </si>
  <si>
    <t>Van Gestel Autoservice</t>
  </si>
  <si>
    <t>5503HJ</t>
  </si>
  <si>
    <t>Veldhoven</t>
  </si>
  <si>
    <t>De Meubeltaxi</t>
  </si>
  <si>
    <t>CREMERSTRAAT 44</t>
  </si>
  <si>
    <t>2032KR</t>
  </si>
  <si>
    <t>HAARLEM</t>
  </si>
  <si>
    <t>Intrak Voerendaal B.V.</t>
  </si>
  <si>
    <t>LINDELAUFER GEWANDE 22</t>
  </si>
  <si>
    <t>6367AZ</t>
  </si>
  <si>
    <t>VOERENDAAL</t>
  </si>
  <si>
    <t>Combo Cleaning B.V.</t>
  </si>
  <si>
    <t>LEONARD LANGWEG 10</t>
  </si>
  <si>
    <t>A.S. Lifttechniek B.V.</t>
  </si>
  <si>
    <t>PASTOOR ZITZENLAAN 7</t>
  </si>
  <si>
    <t>6125BP</t>
  </si>
  <si>
    <t>OBBICHT</t>
  </si>
  <si>
    <t>Hubo Ron Eijgelsheim B.V.</t>
  </si>
  <si>
    <t>OBERONWEG 26 40</t>
  </si>
  <si>
    <t>3208PE</t>
  </si>
  <si>
    <t>SPIJKENISSE</t>
  </si>
  <si>
    <t>Bike Nation V.O.F.</t>
  </si>
  <si>
    <t>HEIGANK 30</t>
  </si>
  <si>
    <t>6373KR</t>
  </si>
  <si>
    <t>V.O.F. COMPLETE MEUBEL EN           WONINGINRICHTING STEVENS</t>
  </si>
  <si>
    <t>BRUNSSUMMERSTRAAT 23</t>
  </si>
  <si>
    <t>6451CP</t>
  </si>
  <si>
    <t>SCHINVELD</t>
  </si>
  <si>
    <t>Woonexpress B.V.</t>
  </si>
  <si>
    <t>L.G.W. van Gerven                   h/o Van Gerven Motoren</t>
  </si>
  <si>
    <t>STOKSKESWEG 21</t>
  </si>
  <si>
    <t>5571TJ</t>
  </si>
  <si>
    <t>BERGEIJK</t>
  </si>
  <si>
    <t>TOKHEIM NETHERLANDS B.V.</t>
  </si>
  <si>
    <t>INDUSTRIEWEG 5</t>
  </si>
  <si>
    <t>5531AD</t>
  </si>
  <si>
    <t>Fitness Seller B.V.</t>
  </si>
  <si>
    <t>DR. NOLENSLAAN 113</t>
  </si>
  <si>
    <t>6136GM</t>
  </si>
  <si>
    <t>Grasse Slaapcomfort Maastricht B.V.</t>
  </si>
  <si>
    <t>AKERSTEENWEG 60</t>
  </si>
  <si>
    <t>6227AB</t>
  </si>
  <si>
    <t>Sailcenter B.V.</t>
  </si>
  <si>
    <t>IJMEERDIJK 18</t>
  </si>
  <si>
    <t>1361AA</t>
  </si>
  <si>
    <t>TUINCENTRUM HEERLEN BV</t>
  </si>
  <si>
    <t>IN DE CRAMER 140</t>
  </si>
  <si>
    <t>P. WILDERDIJK                       AVIATION PATCH SUPPLIES</t>
  </si>
  <si>
    <t>3515VM</t>
  </si>
  <si>
    <t>Stella Fietsen B.V.</t>
  </si>
  <si>
    <t>OOSTEINDERWEG 90</t>
  </si>
  <si>
    <t>8072PD</t>
  </si>
  <si>
    <t>NUNSPEET</t>
  </si>
  <si>
    <t>D A Boer h/o Gala Specialist</t>
  </si>
  <si>
    <t>FRANKENSTRAAT 147 A</t>
  </si>
  <si>
    <t>6224GM</t>
  </si>
  <si>
    <t>Temming Watersport</t>
  </si>
  <si>
    <t>KOEDIJKERSTRAAT 33</t>
  </si>
  <si>
    <t>1823CR</t>
  </si>
  <si>
    <t>Fiets Tempel</t>
  </si>
  <si>
    <t>WILLEMSTRAAT 23</t>
  </si>
  <si>
    <t>6411KX</t>
  </si>
  <si>
    <t>OLL14 Productions</t>
  </si>
  <si>
    <t>ERASMUSDOMEIN 7</t>
  </si>
  <si>
    <t>6229GB</t>
  </si>
  <si>
    <t>Vakantiewereld Recreatie B.V.</t>
  </si>
  <si>
    <t>AAN DE FREMME 20 A</t>
  </si>
  <si>
    <t>6269BE</t>
  </si>
  <si>
    <t>MARGRATEN</t>
  </si>
  <si>
    <t>Jan de Fietsenman V.O.F.</t>
  </si>
  <si>
    <t>VAN ZEGWAARDSTRAAT 394</t>
  </si>
  <si>
    <t>2274VS</t>
  </si>
  <si>
    <t>VOORBURG</t>
  </si>
  <si>
    <t>Bianca's Dierenvoeders</t>
  </si>
  <si>
    <t>JULIANA-BERNHARDLAAN 152</t>
  </si>
  <si>
    <t>6432GX</t>
  </si>
  <si>
    <t>Juwelier Wiering</t>
  </si>
  <si>
    <t>KERKSTRAAT 2</t>
  </si>
  <si>
    <t>FABORY NEDERLAND B.V.</t>
  </si>
  <si>
    <t>ZEVENHEUVELENWEG 44</t>
  </si>
  <si>
    <t>5048AN</t>
  </si>
  <si>
    <t>TILBURG</t>
  </si>
  <si>
    <t>V.O.F. CRESCENDO</t>
  </si>
  <si>
    <t>HOMMERTERWEG 88</t>
  </si>
  <si>
    <t>6431EX</t>
  </si>
  <si>
    <t>Always Connected</t>
  </si>
  <si>
    <t>BIESBOSCH 161</t>
  </si>
  <si>
    <t>1181JB</t>
  </si>
  <si>
    <t>HOLDING JO ROEKS B.V.               Roeks Opticiens B.V.</t>
  </si>
  <si>
    <t>WACHTENDONKSTRAAT 84</t>
  </si>
  <si>
    <t>6367VH</t>
  </si>
  <si>
    <t>MAASTRICHT S BANDENCENTRUM BV</t>
  </si>
  <si>
    <t>KORVETWEG 22</t>
  </si>
  <si>
    <t>6222NE</t>
  </si>
  <si>
    <t>Bever B.V.</t>
  </si>
  <si>
    <t>AMBACHTSWEG 3</t>
  </si>
  <si>
    <t>2641KS</t>
  </si>
  <si>
    <t>PIJNACKER</t>
  </si>
  <si>
    <t>Autobedrijf John v.d. Rijt B.V.</t>
  </si>
  <si>
    <t>GROENENDAL 1</t>
  </si>
  <si>
    <t>5405AS</t>
  </si>
  <si>
    <t>REGENBOOG HEERLEN C.V.</t>
  </si>
  <si>
    <t>MORRES WONEN HULST B.V.</t>
  </si>
  <si>
    <t>INDUSTRIEWEG 2</t>
  </si>
  <si>
    <t>4561GH</t>
  </si>
  <si>
    <t>HULST</t>
  </si>
  <si>
    <t>M. LEENEN                           H/O TNS IT THE NEXT STEP</t>
  </si>
  <si>
    <t>5701PH</t>
  </si>
  <si>
    <t>HELMOND</t>
  </si>
  <si>
    <t>APS groep Belettering en Reclame</t>
  </si>
  <si>
    <t>HEERLENSEWEG 200</t>
  </si>
  <si>
    <t>6371HX</t>
  </si>
  <si>
    <t>Siefers Opticum V.O.F.</t>
  </si>
  <si>
    <t>STOKSTRAAT 22</t>
  </si>
  <si>
    <t>AUTOBEDRIJF KERAM MAASTRICHT B.V.</t>
  </si>
  <si>
    <t>42 Solutions B.V.</t>
  </si>
  <si>
    <t>DE ZAALE 11</t>
  </si>
  <si>
    <t>5612AJ</t>
  </si>
  <si>
    <t>Edwin Groen Tweewielers B.V.</t>
  </si>
  <si>
    <t>MIDDENWEG 552 A</t>
  </si>
  <si>
    <t>1704BP</t>
  </si>
  <si>
    <t>Stairway Fashion</t>
  </si>
  <si>
    <t>SCHIFFELERSTRAAT 9</t>
  </si>
  <si>
    <t>Autobandencentrale Sampermans B.V.</t>
  </si>
  <si>
    <t>WILLEMSTRAAT 80</t>
  </si>
  <si>
    <t>6412AT</t>
  </si>
  <si>
    <t>Willy Vossen Jewel and Time B.V.</t>
  </si>
  <si>
    <t>Maastrichter Brugstraat 11 13</t>
  </si>
  <si>
    <t>6211ES</t>
  </si>
  <si>
    <t>BUDE BOUWMARKT BRUNSSUM B.V.        h.o.d.n. Gamma Bouwmarkt</t>
  </si>
  <si>
    <t>Tuincentrum Roermond B.V.</t>
  </si>
  <si>
    <t>SINT WIROSINGEL 180</t>
  </si>
  <si>
    <t>6042KZ</t>
  </si>
  <si>
    <t>ROERMOND</t>
  </si>
  <si>
    <t>MNFLD B.V.</t>
  </si>
  <si>
    <t>SAAL VAN ZWANENBERGWEG 10</t>
  </si>
  <si>
    <t>5026RN</t>
  </si>
  <si>
    <t>HOFFMANN BEDRIJFSUITRUSTING B.V.</t>
  </si>
  <si>
    <t>3706AK</t>
  </si>
  <si>
    <t>V.O.F. METANOIA</t>
  </si>
  <si>
    <t>PASSAGE 8</t>
  </si>
  <si>
    <t>6441BX</t>
  </si>
  <si>
    <t>PD Heerlen B.V.</t>
  </si>
  <si>
    <t>IN DE CRAMER 16</t>
  </si>
  <si>
    <t>Keramikos B.V.</t>
  </si>
  <si>
    <t>OUDEWEG 153</t>
  </si>
  <si>
    <t>2031CC</t>
  </si>
  <si>
    <t>Bude Bouwmarkt Maastricht Zuid B.V.</t>
  </si>
  <si>
    <t>BURG FRANS CORTENRAADSTR 14</t>
  </si>
  <si>
    <t>6247NZ</t>
  </si>
  <si>
    <t>PeeTee Golf B.V.</t>
  </si>
  <si>
    <t>SPECHTLAAN 2</t>
  </si>
  <si>
    <t>5737PL</t>
  </si>
  <si>
    <t>LIESHOUT</t>
  </si>
  <si>
    <t>Handelsmaatschappij Hiddink B.V.</t>
  </si>
  <si>
    <t>NOBELSTRAAT 16</t>
  </si>
  <si>
    <t>7651DC</t>
  </si>
  <si>
    <t>TUBBERGEN</t>
  </si>
  <si>
    <t>Hertz Automobielen Nederland B.V.</t>
  </si>
  <si>
    <t>SIRIUSDREEF 62</t>
  </si>
  <si>
    <t>2132WT</t>
  </si>
  <si>
    <t>KommaGo B.V.</t>
  </si>
  <si>
    <t>SAVANNAHWEG 25 C</t>
  </si>
  <si>
    <t>Giant Store Lemmens</t>
  </si>
  <si>
    <t>MAASTRICHTERLAAN 1</t>
  </si>
  <si>
    <t>6191AA</t>
  </si>
  <si>
    <t>BEEK LB</t>
  </si>
  <si>
    <t>Interslot</t>
  </si>
  <si>
    <t>CARBOONSTRAAT 61</t>
  </si>
  <si>
    <t>6412PB</t>
  </si>
  <si>
    <t>ESSO NEDERLAND B.V.</t>
  </si>
  <si>
    <t>GRAAF ENGELBERTLAAN 75</t>
  </si>
  <si>
    <t>4837DS</t>
  </si>
  <si>
    <t>COBORO BEHEER B.V.</t>
  </si>
  <si>
    <t>EGELANTIER 2</t>
  </si>
  <si>
    <t>6163RB</t>
  </si>
  <si>
    <t>Winckers Lamberti Heerlen</t>
  </si>
  <si>
    <t>DAUTZENBERGSTRAAT 48</t>
  </si>
  <si>
    <t>Woninginrichting Van der Loo B.V.</t>
  </si>
  <si>
    <t>EKKERSRIJT 4103</t>
  </si>
  <si>
    <t>V.O.F. ROUWETTE AUTOBANDEN</t>
  </si>
  <si>
    <t>PUTWEG 49 A</t>
  </si>
  <si>
    <t>6343PD</t>
  </si>
  <si>
    <t>BETER HOREN B.V.</t>
  </si>
  <si>
    <t>LEIGRAAFSEWEG 8</t>
  </si>
  <si>
    <t>6983BP</t>
  </si>
  <si>
    <t>DOESBURG</t>
  </si>
  <si>
    <t>EURO HANDELSONDERNEMING B.V.</t>
  </si>
  <si>
    <t>RENNEMIGERVELDWEG 70</t>
  </si>
  <si>
    <t>6413BP</t>
  </si>
  <si>
    <t>V.O.F. Briels Lillu</t>
  </si>
  <si>
    <t>STEENWEG 34</t>
  </si>
  <si>
    <t>6131BE</t>
  </si>
  <si>
    <t>LEENSTRA-QUIX V.O.F.</t>
  </si>
  <si>
    <t>HELSTRAAT 30</t>
  </si>
  <si>
    <t>6131CZ</t>
  </si>
  <si>
    <t>Van Brederode Optiek V.O.F.</t>
  </si>
  <si>
    <t>PASSAGE 5</t>
  </si>
  <si>
    <t>6161ER</t>
  </si>
  <si>
    <t>Kijkdaan B.V.</t>
  </si>
  <si>
    <t>BOLDERWEG 2</t>
  </si>
  <si>
    <t>1332AT</t>
  </si>
  <si>
    <t>VWVO Maastricht B.V.</t>
  </si>
  <si>
    <t>STATIONSSTRAAT 25</t>
  </si>
  <si>
    <t>KPN B.V.</t>
  </si>
  <si>
    <t>WILHELMINAKADE 123</t>
  </si>
  <si>
    <t>3072AP</t>
  </si>
  <si>
    <t>STAALBOUW BRONNENBERG HEERLEN B.V.</t>
  </si>
  <si>
    <t>WIJNGAARDSWEG 52</t>
  </si>
  <si>
    <t>Bandenservice Acht B.V.</t>
  </si>
  <si>
    <t>HET SCHAKELPLEIN 1 A</t>
  </si>
  <si>
    <t>5651GR</t>
  </si>
  <si>
    <t>HENRI STIJNEN B.V.</t>
  </si>
  <si>
    <t>LIMBRICHTERSTRAAT 53 57</t>
  </si>
  <si>
    <t>A. SCHUNCK B.V.</t>
  </si>
  <si>
    <t>DAUTZENBERGSTRAAT 57</t>
  </si>
  <si>
    <t>6411LA</t>
  </si>
  <si>
    <t>Wiro h/o Combi Den Helder</t>
  </si>
  <si>
    <t>KEIZERSTRAAT 63</t>
  </si>
  <si>
    <t>1781GE</t>
  </si>
  <si>
    <t>M&amp;L Professional B.V.</t>
  </si>
  <si>
    <t>EINSTEINSTRAAT 12 E</t>
  </si>
  <si>
    <t>1821BZ</t>
  </si>
  <si>
    <t>ENEXIS B.V.</t>
  </si>
  <si>
    <t>MAGISTRATENLAAN 116</t>
  </si>
  <si>
    <t>5223MB</t>
  </si>
  <si>
    <t>Exact Software Nederland B.V.</t>
  </si>
  <si>
    <t>MOLENGRAAFFSINGEL 33</t>
  </si>
  <si>
    <t>2629JD</t>
  </si>
  <si>
    <t>Wijtman Tweewielers Pijnacker B.V.</t>
  </si>
  <si>
    <t>WESTLANDSEWEG 17</t>
  </si>
  <si>
    <t>2624AA</t>
  </si>
  <si>
    <t>BECKERS MEUBELEN V.O.F</t>
  </si>
  <si>
    <t>PIJLER 32</t>
  </si>
  <si>
    <t>6446AX</t>
  </si>
  <si>
    <t>VESPA LIFE STYLE STORE B.V.</t>
  </si>
  <si>
    <t>KOMMEL 16 A</t>
  </si>
  <si>
    <t>6211NZ</t>
  </si>
  <si>
    <t>N.W.M. TOMA                         h.o.d.n. Antiek Nick Toma</t>
  </si>
  <si>
    <t>HEERENWEG 57</t>
  </si>
  <si>
    <t>6414AC</t>
  </si>
  <si>
    <t>Tesla Motors Netherlands B.V.</t>
  </si>
  <si>
    <t>BURGEMEESTER STRAMANWEG 122</t>
  </si>
  <si>
    <t>1101EN</t>
  </si>
  <si>
    <t>Thercon B.V.</t>
  </si>
  <si>
    <t>LANDJUWEEL 25</t>
  </si>
  <si>
    <t>3905PE</t>
  </si>
  <si>
    <t>VEENENDAAL</t>
  </si>
  <si>
    <t>N.J. Voorbij h/o Circle-Support</t>
  </si>
  <si>
    <t>BOTENLAAN 64</t>
  </si>
  <si>
    <t>5652CB</t>
  </si>
  <si>
    <t>R. de Ron h/o De Beletteraar</t>
  </si>
  <si>
    <t>NESTORLAAN 19</t>
  </si>
  <si>
    <t>5631JC</t>
  </si>
  <si>
    <t>VOF SCHOONBROODT - SMEETS           H/O HENDRIKS SCHOENMODE</t>
  </si>
  <si>
    <t>HEERLENSEWEG 34</t>
  </si>
  <si>
    <t>6371HS</t>
  </si>
  <si>
    <t>VAN AUBEL-COENEN SLAPEN B.V.</t>
  </si>
  <si>
    <t>EGELANTIER 17</t>
  </si>
  <si>
    <t>Hanos Heerlen B.V.</t>
  </si>
  <si>
    <t>STADHOUDERSMOLENWEG 37</t>
  </si>
  <si>
    <t>7317AW</t>
  </si>
  <si>
    <t>V.O.F. AUTOSCHADEBEDRIJF BECKERS</t>
  </si>
  <si>
    <t>BUIZERDWEG 6 A -6 C</t>
  </si>
  <si>
    <t>6374BS</t>
  </si>
  <si>
    <t>Juizz B.V.</t>
  </si>
  <si>
    <t>CURIEWEG 15</t>
  </si>
  <si>
    <t>2408BZ</t>
  </si>
  <si>
    <t>Handelsonderneming Dirks B.V.</t>
  </si>
  <si>
    <t>PRINS MAURITSLAAN 120</t>
  </si>
  <si>
    <t>6191EJ</t>
  </si>
  <si>
    <t>Schuttingbedrijf van de Ven V.O.F.</t>
  </si>
  <si>
    <t>AMBACHTEN 6</t>
  </si>
  <si>
    <t>5711LC</t>
  </si>
  <si>
    <t>SOMEREN</t>
  </si>
  <si>
    <t>GaiaPark B.V.</t>
  </si>
  <si>
    <t>BRUGHOFWEG 25</t>
  </si>
  <si>
    <t>6468PB</t>
  </si>
  <si>
    <t>Waterval Electro B.V.</t>
  </si>
  <si>
    <t>FRANKENLAAN 3</t>
  </si>
  <si>
    <t>6419BT</t>
  </si>
  <si>
    <t>C. VAN DE KERKHOF JUWELIERS B.V.</t>
  </si>
  <si>
    <t>RECHTESTRAAT 38</t>
  </si>
  <si>
    <t>5611GR</t>
  </si>
  <si>
    <t>EXPLOITATIE MAATSCHAPPIJ            CHATEAU NEERCANNE B.V.</t>
  </si>
  <si>
    <t>CANNERWEG 800</t>
  </si>
  <si>
    <t>6213ND</t>
  </si>
  <si>
    <t>J.P.H. Burgers h/o Taxo</t>
  </si>
  <si>
    <t>BILLENHOVENSTRAAT 24</t>
  </si>
  <si>
    <t>6351LV</t>
  </si>
  <si>
    <t>BOCHOLTZ</t>
  </si>
  <si>
    <t>SIJBEN WOONCENTER B.V.</t>
  </si>
  <si>
    <t>MAASNIELDERWEG 33</t>
  </si>
  <si>
    <t>6042CX</t>
  </si>
  <si>
    <t>MR &amp; MRS Fashion footwear Stinski</t>
  </si>
  <si>
    <t>KERKSTRAAT 18</t>
  </si>
  <si>
    <t>6374HK</t>
  </si>
  <si>
    <t>Transip B.V.</t>
  </si>
  <si>
    <t>VONDELLAAN 47</t>
  </si>
  <si>
    <t>2332AA</t>
  </si>
  <si>
    <t>LEIDEN</t>
  </si>
  <si>
    <t>LIMBURGSE KOELINDUSTRIE LIKO B.V.</t>
  </si>
  <si>
    <t>VOSKUILENWEG 61</t>
  </si>
  <si>
    <t>6416AH</t>
  </si>
  <si>
    <t>HANS STASSAR CAMPING &amp; RECREATIE B.V</t>
  </si>
  <si>
    <t>PIJLER 36</t>
  </si>
  <si>
    <t>Insight Enterprises Netherlands B.V.</t>
  </si>
  <si>
    <t>KABELWEG 37</t>
  </si>
  <si>
    <t>1014BA</t>
  </si>
  <si>
    <t>Rijwielcentrale V.O.F.</t>
  </si>
  <si>
    <t>KONINGIN JULIANALAAN 4</t>
  </si>
  <si>
    <t>5582JV</t>
  </si>
  <si>
    <t>WAALRE</t>
  </si>
  <si>
    <t>Unique Diamond Trade B.V.</t>
  </si>
  <si>
    <t>KRUISSTRAAT 10</t>
  </si>
  <si>
    <t>6456AL</t>
  </si>
  <si>
    <t>ITALO DESIGN V.O.F.</t>
  </si>
  <si>
    <t>PROMENADE 12</t>
  </si>
  <si>
    <t>6411JK</t>
  </si>
  <si>
    <t>Plan Keukens B.V.</t>
  </si>
  <si>
    <t>RIJKSWEG 21</t>
  </si>
  <si>
    <t>6271AB</t>
  </si>
  <si>
    <t>GULPEN</t>
  </si>
  <si>
    <t>Hotel Leeuwarden Centre B.V.</t>
  </si>
  <si>
    <t>HELICONWEG 52</t>
  </si>
  <si>
    <t>8914AT</t>
  </si>
  <si>
    <t>Schoenen van Houben</t>
  </si>
  <si>
    <t>Aanhangwagen Centrum Eindhoven B.V.</t>
  </si>
  <si>
    <t>BOSCHDIJK 952</t>
  </si>
  <si>
    <t>5627AD</t>
  </si>
  <si>
    <t>Klimcentrum Neoliet Heerlen B.V.</t>
  </si>
  <si>
    <t>DE BONTSTRAAT 12</t>
  </si>
  <si>
    <t>5691SW</t>
  </si>
  <si>
    <t>Atelier Pantazi</t>
  </si>
  <si>
    <t>BARBARASTRAAT 32</t>
  </si>
  <si>
    <t>6164HK</t>
  </si>
  <si>
    <t>VAN CRANENBROEK LANDGRAAF B.V.</t>
  </si>
  <si>
    <t>MINCKELERSSTRAAT 1</t>
  </si>
  <si>
    <t>6372PP</t>
  </si>
  <si>
    <t>Calumet Photographic BV</t>
  </si>
  <si>
    <t>KEIENBERGWEG 13 15</t>
  </si>
  <si>
    <t>1101EZ</t>
  </si>
  <si>
    <t>Tiffany &amp; Co Netherlnds B.V.</t>
  </si>
  <si>
    <t>P CORNELISZ HOOFTSTR 86 88</t>
  </si>
  <si>
    <t>1071CB</t>
  </si>
  <si>
    <t>Wealer B.V.</t>
  </si>
  <si>
    <t>TERHOEVENDERWEG 100</t>
  </si>
  <si>
    <t>R.L.J. Vaessen                      h/o Anthias divecenter</t>
  </si>
  <si>
    <t>VALKENBURGERWEG 12</t>
  </si>
  <si>
    <t>6367GV</t>
  </si>
  <si>
    <t>V.O.F. POST &amp; GARCIA</t>
  </si>
  <si>
    <t>AVENUE CERAMIQUE 17</t>
  </si>
  <si>
    <t>6221KV</t>
  </si>
  <si>
    <t>VALKBRIL VOF</t>
  </si>
  <si>
    <t>AKERSTEENWEG 47</t>
  </si>
  <si>
    <t>6226HS</t>
  </si>
  <si>
    <t>Etenschap V.O.F.</t>
  </si>
  <si>
    <t>PUTWEG 45</t>
  </si>
  <si>
    <t>Astro Controls B.V.</t>
  </si>
  <si>
    <t>EIKENLAAN 235</t>
  </si>
  <si>
    <t>2404BP</t>
  </si>
  <si>
    <t>Havic Kantoormeubelen B.V.</t>
  </si>
  <si>
    <t>MARSHALLWEG 5</t>
  </si>
  <si>
    <t>5466AH</t>
  </si>
  <si>
    <t>Autocenter van der Aa Uden B.V.</t>
  </si>
  <si>
    <t>VLUCHTOORD 5</t>
  </si>
  <si>
    <t>5406XP</t>
  </si>
  <si>
    <t>Exklusivt B.V.                      p/a curatot Mr. B.H.M. Harbers</t>
  </si>
  <si>
    <t>5705BN</t>
  </si>
  <si>
    <t>Helmond</t>
  </si>
  <si>
    <t>Ivizi Heerlen B.V.</t>
  </si>
  <si>
    <t>SAROLEASTRAAT 45</t>
  </si>
  <si>
    <t>6411LR</t>
  </si>
  <si>
    <t>Stoffels Interieurverzorging B.V.</t>
  </si>
  <si>
    <t>ALDENHOFWEG 5</t>
  </si>
  <si>
    <t>6121SE</t>
  </si>
  <si>
    <t>LANCKOHR JUWELIERS B.V.</t>
  </si>
  <si>
    <t>POSTSTRAAT 6</t>
  </si>
  <si>
    <t>6461AX</t>
  </si>
  <si>
    <t>R. Berkers</t>
  </si>
  <si>
    <t>In de Cramer 78 C</t>
  </si>
  <si>
    <t>SYSWORKS ICT B.V.</t>
  </si>
  <si>
    <t>BUSINESS PARK STEIN 214</t>
  </si>
  <si>
    <t>6181MB</t>
  </si>
  <si>
    <t>ELSLOO LB</t>
  </si>
  <si>
    <t>H.M.J. Driessen</t>
  </si>
  <si>
    <t>BONGERD 13 B</t>
  </si>
  <si>
    <t>6411JL</t>
  </si>
  <si>
    <t>Joppen Motoren C.V.</t>
  </si>
  <si>
    <t>STRIJPERDIJK 3 D</t>
  </si>
  <si>
    <t>5595XM</t>
  </si>
  <si>
    <t>LEENDE</t>
  </si>
  <si>
    <t>HART CLEANING SERVICE B.V.</t>
  </si>
  <si>
    <t>BREEDIJK 4</t>
  </si>
  <si>
    <t>5705CJ</t>
  </si>
  <si>
    <t>V.O.F. Woonoutlet Zuid</t>
  </si>
  <si>
    <t>GELEENSTRAAT 64</t>
  </si>
  <si>
    <t>6411HT</t>
  </si>
  <si>
    <t>Autobedrijf Rotor B.V.</t>
  </si>
  <si>
    <t>TERHOEVENDERWEG 96</t>
  </si>
  <si>
    <t>Poulissen Audio Video Center B.V.</t>
  </si>
  <si>
    <t>SCHOENMAKERSSTRAAT 19</t>
  </si>
  <si>
    <t>6041EX</t>
  </si>
  <si>
    <t>V.O.F. JOHN BACKERS HENGELSPORT</t>
  </si>
  <si>
    <t>AKERSTRAAT-NOORD 152</t>
  </si>
  <si>
    <t>M. Grooten Euregiotrac B.V.</t>
  </si>
  <si>
    <t>RIJKSWEG 11</t>
  </si>
  <si>
    <t>6286AD</t>
  </si>
  <si>
    <t>WITTEM</t>
  </si>
  <si>
    <t>HOTEL VAALSBROEK B.V.</t>
  </si>
  <si>
    <t>VAALSBROEK 1</t>
  </si>
  <si>
    <t>6291NH</t>
  </si>
  <si>
    <t>A.M.H. Thijssen                     h/o                                 Elan Damesmode</t>
  </si>
  <si>
    <t>'T WINKELCENTRUM 3</t>
  </si>
  <si>
    <t>Cycle Trend B.V.</t>
  </si>
  <si>
    <t>DUIVENDIJK 5 A</t>
  </si>
  <si>
    <t>W.K.K. NEDERLAND B.V.</t>
  </si>
  <si>
    <t>POLLUXSTRAAT 53</t>
  </si>
  <si>
    <t>5047RA</t>
  </si>
  <si>
    <t>SLAAPSPECIALIST EINDHOVEN B.V.</t>
  </si>
  <si>
    <t>MEERWEG 7</t>
  </si>
  <si>
    <t>5384SJ</t>
  </si>
  <si>
    <t>HEESCH</t>
  </si>
  <si>
    <t>OVS Garden B.V.</t>
  </si>
  <si>
    <t>EKKERSRIJT 4135</t>
  </si>
  <si>
    <t>MEUBELGROOTHANDEL BUCO WEERT B.V.</t>
  </si>
  <si>
    <t>HOOGVELDSTRAAT 12 20</t>
  </si>
  <si>
    <t>6002BS</t>
  </si>
  <si>
    <t>AUTOMOBIELCENTRALE DE UIVER B.V.</t>
  </si>
  <si>
    <t>PROVINCIALEWEG NOORD 85 87</t>
  </si>
  <si>
    <t>6439AB</t>
  </si>
  <si>
    <t>DOENRADE</t>
  </si>
  <si>
    <t>ALBERT AMERICA VOF</t>
  </si>
  <si>
    <t>PRINS CLAUSSTRAAT 114</t>
  </si>
  <si>
    <t>6433JR</t>
  </si>
  <si>
    <t>Jos ten Berg's Handelmaatschappij</t>
  </si>
  <si>
    <t>UTRECHTHAVEN 16</t>
  </si>
  <si>
    <t>3433PN</t>
  </si>
  <si>
    <t>Wittebrug B.V.</t>
  </si>
  <si>
    <t>DONAU 120</t>
  </si>
  <si>
    <t>2491BC</t>
  </si>
  <si>
    <t>R R E BOLT</t>
  </si>
  <si>
    <t>HAEFLAND 31 A</t>
  </si>
  <si>
    <t>Wheelpoint.nl B.V.</t>
  </si>
  <si>
    <t>VLUCHTOORD 25</t>
  </si>
  <si>
    <t>JYSK B.V.</t>
  </si>
  <si>
    <t>MEANDER 601</t>
  </si>
  <si>
    <t>Merit Media B.V.</t>
  </si>
  <si>
    <t>BREDASEWEG 113</t>
  </si>
  <si>
    <t>4872LA</t>
  </si>
  <si>
    <t>ETTEN-LEUR</t>
  </si>
  <si>
    <t>Golf Residentie Brunssemerheide     V.O.F.</t>
  </si>
  <si>
    <t>ALEXANDERSTRAAT 1</t>
  </si>
  <si>
    <t>6361AN</t>
  </si>
  <si>
    <t>DREAMS B.V.                         p/a curator Mr. R.E.A. Ruiter</t>
  </si>
  <si>
    <t>6412BC</t>
  </si>
  <si>
    <t>Decathlon Netherlands B.V.</t>
  </si>
  <si>
    <t>HOOGOORDDREEF 15 GEB. AMERIKA</t>
  </si>
  <si>
    <t>1101BA</t>
  </si>
  <si>
    <t>Bachaus Automotive Landgraaf B.V.</t>
  </si>
  <si>
    <t>AMPERESTRAAT 18</t>
  </si>
  <si>
    <t>6372BB</t>
  </si>
  <si>
    <t>HIERO WOONSUPER HEERLEN B.V.</t>
  </si>
  <si>
    <t>HAMBEUKERBOORD 101</t>
  </si>
  <si>
    <t>6418BS</t>
  </si>
  <si>
    <t>Frabe Onderdelen Centrum V.O.F.</t>
  </si>
  <si>
    <t>SLAKKENSTRAAT 92</t>
  </si>
  <si>
    <t>6431NK</t>
  </si>
  <si>
    <t>AAA Display  B.V.</t>
  </si>
  <si>
    <t>PARELLAAN 30</t>
  </si>
  <si>
    <t>2132WS</t>
  </si>
  <si>
    <t>Carcleaning Veldhoven</t>
  </si>
  <si>
    <t>DE RUN 8233</t>
  </si>
  <si>
    <t>5504EM</t>
  </si>
  <si>
    <t>Stickercompany B.V.</t>
  </si>
  <si>
    <t>DILLENBURGSTRAAT 7 A</t>
  </si>
  <si>
    <t>5652AM</t>
  </si>
  <si>
    <t>Kulowany Interieurarchitectuur C.V.</t>
  </si>
  <si>
    <t>KOUVENDERSTRAAT 172</t>
  </si>
  <si>
    <t>6431HH</t>
  </si>
  <si>
    <t>V.G.P. de Groot                     h/o                                 Corio Espresso Service</t>
  </si>
  <si>
    <t>HEERLERBAAN 275</t>
  </si>
  <si>
    <t>6418CE</t>
  </si>
  <si>
    <t>Riviera Maison B.V.</t>
  </si>
  <si>
    <t>BEIRAWEG 15</t>
  </si>
  <si>
    <t>1047HN</t>
  </si>
  <si>
    <t>Autoschade Frans Beckers B.V.</t>
  </si>
  <si>
    <t>HAEFLAND 11 A</t>
  </si>
  <si>
    <t>BETER BED B.V.</t>
  </si>
  <si>
    <t>LINIE 27</t>
  </si>
  <si>
    <t>5405AR</t>
  </si>
  <si>
    <t>eFeen</t>
  </si>
  <si>
    <t>JEROEN BOSCHPLANTSOEN 65</t>
  </si>
  <si>
    <t>1318HC</t>
  </si>
  <si>
    <t>MEDIA MARKT RIJSWIJK BV</t>
  </si>
  <si>
    <t>PR WILLEM ALEXANDER PROM 69 83</t>
  </si>
  <si>
    <t>2284DJ</t>
  </si>
  <si>
    <t>RIJSWIJK ZH</t>
  </si>
  <si>
    <t>Suit Academy Umberella</t>
  </si>
  <si>
    <t>BRUSSELSESTRAAT 1 A</t>
  </si>
  <si>
    <t>6211PA</t>
  </si>
  <si>
    <t>Bax-Shop.NL B.V.</t>
  </si>
  <si>
    <t>OLYMPIASTRAAT 2</t>
  </si>
  <si>
    <t>4462GG</t>
  </si>
  <si>
    <t>GOES</t>
  </si>
  <si>
    <t>FRISSEN GROEN TECHNIEK BV</t>
  </si>
  <si>
    <t>DE VALKENBERG 15</t>
  </si>
  <si>
    <t>6301PM</t>
  </si>
  <si>
    <t>V.O.F. Technical Results</t>
  </si>
  <si>
    <t>NOORDHOREN 17</t>
  </si>
  <si>
    <t>8255BC</t>
  </si>
  <si>
    <t>SWIFTERBANT</t>
  </si>
  <si>
    <t>Tuinmeubelland Veghel B.V.</t>
  </si>
  <si>
    <t>DE DONGE 2</t>
  </si>
  <si>
    <t>8253PT</t>
  </si>
  <si>
    <t>DRONTEN</t>
  </si>
  <si>
    <t>Praxis Groep B.V.</t>
  </si>
  <si>
    <t>HERIKERBERGWEG 336</t>
  </si>
  <si>
    <t>1101CT</t>
  </si>
  <si>
    <t>SPORTHUIS QUANJEL B.V.</t>
  </si>
  <si>
    <t>NAGELBEEK 7 B</t>
  </si>
  <si>
    <t>6365EH</t>
  </si>
  <si>
    <t>Verdoes Fietsen B.V.</t>
  </si>
  <si>
    <t>DRS. F. BIJLWEG 242</t>
  </si>
  <si>
    <t>1784MC</t>
  </si>
  <si>
    <t>K. Konings                          h/o                                 Bodywise Personal Training</t>
  </si>
  <si>
    <t>6223AZ</t>
  </si>
  <si>
    <t>Bandenhandel Tielemans V.O.F.</t>
  </si>
  <si>
    <t>KRUISSTRAAT 126 B</t>
  </si>
  <si>
    <t>5502JJ</t>
  </si>
  <si>
    <t>M.H.H. Descendre                    h/o Autobanden Marciano</t>
  </si>
  <si>
    <t>HEERENWEG 284</t>
  </si>
  <si>
    <t>6414AV</t>
  </si>
  <si>
    <t>Coppelmans Tuincentrum Oirschot B.V.</t>
  </si>
  <si>
    <t>BESTSEWEG 53</t>
  </si>
  <si>
    <t>5688NP</t>
  </si>
  <si>
    <t>OIRSCHOT</t>
  </si>
  <si>
    <t>Ingenium B.V.</t>
  </si>
  <si>
    <t>VELUWESTRAAT 87</t>
  </si>
  <si>
    <t>7559LK</t>
  </si>
  <si>
    <t>HENGELO OV</t>
  </si>
  <si>
    <t>Sport Tillemans V.O.F.</t>
  </si>
  <si>
    <t>RUMPENERSTRAAT 31</t>
  </si>
  <si>
    <t>Rijwielhandel George Walstock</t>
  </si>
  <si>
    <t>RUTTENSINGEL 160 A</t>
  </si>
  <si>
    <t>6214SV</t>
  </si>
  <si>
    <t>D.W. van  Olphen h/o                Schrijfblokkenbedrukken.nl</t>
  </si>
  <si>
    <t>2121GT</t>
  </si>
  <si>
    <t>Bennebroek</t>
  </si>
  <si>
    <t>Media Markt Leidschendam B.V.</t>
  </si>
  <si>
    <t>LIGUSTER 102</t>
  </si>
  <si>
    <t>2262AC</t>
  </si>
  <si>
    <t>LEIDSCHENDAM</t>
  </si>
  <si>
    <t>Ekris Retail B.V.</t>
  </si>
  <si>
    <t>PLESMANSTRAAT 45</t>
  </si>
  <si>
    <t>3905KZ</t>
  </si>
  <si>
    <t>Volop Eindhoven B.V.</t>
  </si>
  <si>
    <t>EKKERSRIJT 4211</t>
  </si>
  <si>
    <t>5692DG</t>
  </si>
  <si>
    <t>Tyco Fire and Security Nederland B.V</t>
  </si>
  <si>
    <t>VLIERBAAN 6 12</t>
  </si>
  <si>
    <t>2908LR</t>
  </si>
  <si>
    <t>CAPELLE AAN DEN IJSSEL</t>
  </si>
  <si>
    <t>V.O.F. BORMANS MODESCHOENEN</t>
  </si>
  <si>
    <t>STEENWEG 27</t>
  </si>
  <si>
    <t>6131BB</t>
  </si>
  <si>
    <t>Molenaar Motors B.V.</t>
  </si>
  <si>
    <t>EINSTEINWEG 5 7</t>
  </si>
  <si>
    <t>3404LE</t>
  </si>
  <si>
    <t>Schepers Motoren Design</t>
  </si>
  <si>
    <t>HAEFLAND 31 C</t>
  </si>
  <si>
    <t>In-Lease Nederland B.V.</t>
  </si>
  <si>
    <t>DUFFELSESTEENWEG 162</t>
  </si>
  <si>
    <t>6711PW</t>
  </si>
  <si>
    <t>2550 KONTICH BELGIE</t>
  </si>
  <si>
    <t>Handelsonderneming Zesentwintig B.V.</t>
  </si>
  <si>
    <t>BAVELSEWEG 147</t>
  </si>
  <si>
    <t>5124PX</t>
  </si>
  <si>
    <t>MOLENSCHOT</t>
  </si>
  <si>
    <t>SEATS AND SOFAS B.V.</t>
  </si>
  <si>
    <t>CONRADSTRAAT 8</t>
  </si>
  <si>
    <t>3364AC</t>
  </si>
  <si>
    <t>SLIEDRECHT</t>
  </si>
  <si>
    <t>Scooter Center Den Haag B.V.</t>
  </si>
  <si>
    <t>RIJSWIJKSEWEG 184</t>
  </si>
  <si>
    <t>2516EL</t>
  </si>
  <si>
    <t>Media Markt Leeuwarden B.V.</t>
  </si>
  <si>
    <t>DE CENTRALE 12</t>
  </si>
  <si>
    <t>8924CZ</t>
  </si>
  <si>
    <t>ISBC B.V.</t>
  </si>
  <si>
    <t>PASCALWEG 8</t>
  </si>
  <si>
    <t>6101WV</t>
  </si>
  <si>
    <t>Smeets M.B. Zuid-Limburg B.V.</t>
  </si>
  <si>
    <t>HANDELSSTRAAT 2</t>
  </si>
  <si>
    <t>6433KB</t>
  </si>
  <si>
    <t>The Housing Company B.V.</t>
  </si>
  <si>
    <t>WILHELMINASINGEL 118</t>
  </si>
  <si>
    <t>6221BL</t>
  </si>
  <si>
    <t>Staples Nederland B.V.</t>
  </si>
  <si>
    <t>RONDEBELTWEG 102</t>
  </si>
  <si>
    <t>1329BH</t>
  </si>
  <si>
    <t>Robby's Stuntpaleis B.V.</t>
  </si>
  <si>
    <t>HOOFDSTRAAT 18</t>
  </si>
  <si>
    <t>5528AJ</t>
  </si>
  <si>
    <t>HOOGELOON</t>
  </si>
  <si>
    <t>AON DE STASIE B.V.</t>
  </si>
  <si>
    <t>SPHINXLUNET 1</t>
  </si>
  <si>
    <t>6221JD</t>
  </si>
  <si>
    <t>Woon Alkmaar B.V.</t>
  </si>
  <si>
    <t>KOEDIJKERSTRAAT 22</t>
  </si>
  <si>
    <t>Van den Borne Optiek Hapert B.V.</t>
  </si>
  <si>
    <t>MARKT 62</t>
  </si>
  <si>
    <t>5527EN</t>
  </si>
  <si>
    <t>HAPERT</t>
  </si>
  <si>
    <t>GIJSEN OPTIEK B.V.</t>
  </si>
  <si>
    <t>TEMPELPLEIN 15</t>
  </si>
  <si>
    <t>6131JC</t>
  </si>
  <si>
    <t>V.O.F. BISSCHOPS</t>
  </si>
  <si>
    <t>ST.PIETERSTRAAT 59</t>
  </si>
  <si>
    <t>6463CR</t>
  </si>
  <si>
    <t>Langedijk Okkerse C.V.</t>
  </si>
  <si>
    <t>BEATRIXSTRAAT 60</t>
  </si>
  <si>
    <t>1781EP</t>
  </si>
  <si>
    <t>Nederlands Slaapcentrum B.V.</t>
  </si>
  <si>
    <t>ENGELSEWEG 222 B T/M 233</t>
  </si>
  <si>
    <t>5705AK</t>
  </si>
  <si>
    <t>SLIGRO FOOD GROUP NEDERLAND B.V.</t>
  </si>
  <si>
    <t>CORRIDOR 11</t>
  </si>
  <si>
    <t>5466RB</t>
  </si>
  <si>
    <t>J. Hellenbrand                      h/o Autobedrijf Jo Hellenbrand</t>
  </si>
  <si>
    <t>MOLENVAART 2</t>
  </si>
  <si>
    <t>Albe Technieken B.V.</t>
  </si>
  <si>
    <t>TELEVISIEWEG 58</t>
  </si>
  <si>
    <t>1322AM</t>
  </si>
  <si>
    <t>P.M.G.H. VEUGEN                     h.o.d.n. Boots Optiek</t>
  </si>
  <si>
    <t>HOVENSTRAAT 137</t>
  </si>
  <si>
    <t>6374HC</t>
  </si>
  <si>
    <t>V.O.F. Jac . P. Vrolijk</t>
  </si>
  <si>
    <t>HAAGSESTRAAT 38 C</t>
  </si>
  <si>
    <t>2587TK</t>
  </si>
  <si>
    <t>Minerva Meettechniek B.V.</t>
  </si>
  <si>
    <t>CHRYSANTSTRAAT 1</t>
  </si>
  <si>
    <t>3812WX</t>
  </si>
  <si>
    <t>M. Vrolijk                          h/o Jocelyne</t>
  </si>
  <si>
    <t>KERKSTRAAT 29</t>
  </si>
  <si>
    <t>6441BA</t>
  </si>
  <si>
    <t>JAC COX WEERT B.V.</t>
  </si>
  <si>
    <t>ROERMONDSEWEG 98</t>
  </si>
  <si>
    <t>6004AV</t>
  </si>
  <si>
    <t>Garage Citro-Advies V.O.F.          h/o                                 Garage Citro-Advies</t>
  </si>
  <si>
    <t>PARALLELWEG 6</t>
  </si>
  <si>
    <t>6411ND</t>
  </si>
  <si>
    <t>HEIJNEN B.V.</t>
  </si>
  <si>
    <t>DE GROOTE HEEZE 11</t>
  </si>
  <si>
    <t>6598AV</t>
  </si>
  <si>
    <t>HEIJEN</t>
  </si>
  <si>
    <t>H.J.A. van Os Lederwaren B.V.</t>
  </si>
  <si>
    <t>CURIEWEG 23</t>
  </si>
  <si>
    <t>Hotel Kasteel Doenrade B.V.</t>
  </si>
  <si>
    <t>LIMPENSWEG 20</t>
  </si>
  <si>
    <t>6439BE</t>
  </si>
  <si>
    <t>Smeets Optiek B.V.                  h.o.d.n. Pearle Opticiens</t>
  </si>
  <si>
    <t>LIJSTERBESLAAN 14</t>
  </si>
  <si>
    <t>6241AN</t>
  </si>
  <si>
    <t>BUNDE</t>
  </si>
  <si>
    <t>V.O.F. LUPA OUTDOORS VIJVERCENTRUM  LIMBURG</t>
  </si>
  <si>
    <t>OP DE BIES 70</t>
  </si>
  <si>
    <t>J.H.H. VLIEX</t>
  </si>
  <si>
    <t>STATIONSTRAAT 55</t>
  </si>
  <si>
    <t>6369VH</t>
  </si>
  <si>
    <t>Expert v.d. Griendt Drunen V.O.F.</t>
  </si>
  <si>
    <t>TORENSTRAAT 5</t>
  </si>
  <si>
    <t>5151JJ</t>
  </si>
  <si>
    <t>DRUNEN</t>
  </si>
  <si>
    <t>MEDIA MARKT EINDHOVEN B.V.          h/o                                 MEDIA MARKT EINDHOVEN CENTRUM B.V.</t>
  </si>
  <si>
    <t>BOSCHDIJKTUNNEL 1</t>
  </si>
  <si>
    <t>5611AG</t>
  </si>
  <si>
    <t>Frans Beks &amp; Zn Interieur B.V.</t>
  </si>
  <si>
    <t>AKERSTEENWEG 49</t>
  </si>
  <si>
    <t>Lendi B.V.</t>
  </si>
  <si>
    <t>KOUVENDERSTRAAT 15</t>
  </si>
  <si>
    <t>6431HA</t>
  </si>
  <si>
    <t>Nieman Sports VOF</t>
  </si>
  <si>
    <t>RIJKSWEG CENTRUM 2</t>
  </si>
  <si>
    <t>6161EE</t>
  </si>
  <si>
    <t>Nonosense4u</t>
  </si>
  <si>
    <t>RUMPENERSTRAAT 18</t>
  </si>
  <si>
    <t>6443CD</t>
  </si>
  <si>
    <t>Klussenbedrijf Math Schroders</t>
  </si>
  <si>
    <t>LAURASTRAAT 89</t>
  </si>
  <si>
    <t>6471JJ</t>
  </si>
  <si>
    <t>GGP B.V.</t>
  </si>
  <si>
    <t>VUGHTERWEG 47 B</t>
  </si>
  <si>
    <t>5211CK</t>
  </si>
  <si>
    <t>Martens &amp; Mathot Zien &amp; Horen</t>
  </si>
  <si>
    <t>PLANKSTRAAT 9</t>
  </si>
  <si>
    <t>6211GA</t>
  </si>
  <si>
    <t>BRABANT WATER N.V.</t>
  </si>
  <si>
    <t>MAGISTRATENLAAN 200</t>
  </si>
  <si>
    <t>5223MA</t>
  </si>
  <si>
    <t>Uniek Mode B.V.</t>
  </si>
  <si>
    <t>KERKSTRAAT 7</t>
  </si>
  <si>
    <t>5541EM</t>
  </si>
  <si>
    <t>REUSEL</t>
  </si>
  <si>
    <t>Unlimited Expectations B.V.</t>
  </si>
  <si>
    <t>EINSTEINWEG 25</t>
  </si>
  <si>
    <t>6662PW</t>
  </si>
  <si>
    <t>ELST GLD</t>
  </si>
  <si>
    <t>Geertsema Slaapcomfort B.V.</t>
  </si>
  <si>
    <t>HET AANLEG 7</t>
  </si>
  <si>
    <t>9951SJ</t>
  </si>
  <si>
    <t>WINSUM GN</t>
  </si>
  <si>
    <t>Media Markt Middelburg B.V.</t>
  </si>
  <si>
    <t>MORTIEREBOULEVARD 4</t>
  </si>
  <si>
    <t>4336RA</t>
  </si>
  <si>
    <t>MIDDELBURG</t>
  </si>
  <si>
    <t>P.J.J.M. Gielen h/o Pittige Teksten</t>
  </si>
  <si>
    <t>DENNENSTRAAT 10</t>
  </si>
  <si>
    <t>5038PR</t>
  </si>
  <si>
    <t>Janssen Meubelen V.O.F.</t>
  </si>
  <si>
    <t>BOSSTRAAT 11</t>
  </si>
  <si>
    <t>6101NV</t>
  </si>
  <si>
    <t>Beks Vastgoed B.V.</t>
  </si>
  <si>
    <t>INDUSTRIELAAN 10</t>
  </si>
  <si>
    <t>5405AB</t>
  </si>
  <si>
    <t>Garage Stevens B.V.</t>
  </si>
  <si>
    <t>GELEENSTRAAT 60</t>
  </si>
  <si>
    <t>6155ND</t>
  </si>
  <si>
    <t>PUTH</t>
  </si>
  <si>
    <t>V.O.F. Kusters Promo Gifts</t>
  </si>
  <si>
    <t>BONGERD 40</t>
  </si>
  <si>
    <t>6176AW</t>
  </si>
  <si>
    <t>SPAUBEEK</t>
  </si>
  <si>
    <t>Borrenbergs Woninginrichting en     Projecten B.V.</t>
  </si>
  <si>
    <t>DORPSTRAAT 101</t>
  </si>
  <si>
    <t>5575AE</t>
  </si>
  <si>
    <t>LUYKSGESTEL</t>
  </si>
  <si>
    <t>GASSE SLAAPKOMFORT B.V.</t>
  </si>
  <si>
    <t>IRMSTRAAT 54 56</t>
  </si>
  <si>
    <t>6369VB</t>
  </si>
  <si>
    <t>TERMEER SCHOENEN B.V.</t>
  </si>
  <si>
    <t>Hendriks Mode Schelsberg B.V.</t>
  </si>
  <si>
    <t>SCHELSBERG 88</t>
  </si>
  <si>
    <t>Ikea B.V.</t>
  </si>
  <si>
    <t>LAAN VAN DECIMA 1 SERVICE OFFI</t>
  </si>
  <si>
    <t>2031CX</t>
  </si>
  <si>
    <t>MATH SALDEN BEHEER B.V.</t>
  </si>
  <si>
    <t>PROVINCIALEWEG 21</t>
  </si>
  <si>
    <t>6141AA</t>
  </si>
  <si>
    <t>Peppino V.O.F.</t>
  </si>
  <si>
    <t>KERKSTRAAT 246</t>
  </si>
  <si>
    <t>6441BK</t>
  </si>
  <si>
    <t>GBM Maastricht</t>
  </si>
  <si>
    <t>VOGELZANG 11</t>
  </si>
  <si>
    <t>6229VM</t>
  </si>
  <si>
    <t>Sport 2000 Parkstad B.V.</t>
  </si>
  <si>
    <t>WIEBACHSTRAAT 77 A 1</t>
  </si>
  <si>
    <t>L.M.A. LEMMENS                      h/o CYCLE SHOP</t>
  </si>
  <si>
    <t>KLOMPSTRAAT 41 43</t>
  </si>
  <si>
    <t>6411KR</t>
  </si>
  <si>
    <t>MEDIA MARKT ROERMOND B.V.</t>
  </si>
  <si>
    <t>SCHAARBROEKERWEG 32 34</t>
  </si>
  <si>
    <t>6042EJ</t>
  </si>
  <si>
    <t>Daemen Kunststoffen B.V.</t>
  </si>
  <si>
    <t>HOFDWARSWEG 7</t>
  </si>
  <si>
    <t>6161DE</t>
  </si>
  <si>
    <t>Hafo B.V.</t>
  </si>
  <si>
    <t>WAGENSTRAAT 67</t>
  </si>
  <si>
    <t>2512AR</t>
  </si>
  <si>
    <t>TAPIJTCENTRUM NEDERLAND B.V.</t>
  </si>
  <si>
    <t>HOOFDSTRAAT 53</t>
  </si>
  <si>
    <t>5683AC</t>
  </si>
  <si>
    <t>BEST</t>
  </si>
  <si>
    <t>Hengelsport Geleen</t>
  </si>
  <si>
    <t>Geleen</t>
  </si>
  <si>
    <t>HEUNEN JUWELIERS BV</t>
  </si>
  <si>
    <t>BURG JANSSENSTRAAT 18</t>
  </si>
  <si>
    <t>6191JC</t>
  </si>
  <si>
    <t>Paul Retail B.V.</t>
  </si>
  <si>
    <t>RIJKSSTRAATWEG 7</t>
  </si>
  <si>
    <t>3316EE</t>
  </si>
  <si>
    <t>DORDRECHT</t>
  </si>
  <si>
    <t>De Bommel Groep B.V.</t>
  </si>
  <si>
    <t>TOERMALIJNRING 1500</t>
  </si>
  <si>
    <t>3316LC</t>
  </si>
  <si>
    <t>PROFITA AALST B.V.</t>
  </si>
  <si>
    <t>GESTELSESTRAAT 59</t>
  </si>
  <si>
    <t>5582HG</t>
  </si>
  <si>
    <t>de Schakel Wonen &amp; Slapen B.V.</t>
  </si>
  <si>
    <t>RAVELIJNCENTER 4</t>
  </si>
  <si>
    <t>1785LX</t>
  </si>
  <si>
    <t>PHB DE Combi B.V.</t>
  </si>
  <si>
    <t>KOLK 5</t>
  </si>
  <si>
    <t>6662WE</t>
  </si>
  <si>
    <t>Intergarde Beveiligingstechniek B.V.</t>
  </si>
  <si>
    <t>WITHUISVELD 18</t>
  </si>
  <si>
    <t>Howa Binnenhuisdecoratie</t>
  </si>
  <si>
    <t>NIEUWSTRAAT 14</t>
  </si>
  <si>
    <t>6431KT</t>
  </si>
  <si>
    <t>AUTOBEDRIJF EUSSEN B.V.</t>
  </si>
  <si>
    <t>RANSDALERSTRAAT 43</t>
  </si>
  <si>
    <t>6311AW</t>
  </si>
  <si>
    <t>RANSDAAL</t>
  </si>
  <si>
    <t>VAN NEER EYCKELER B.V.              p/a curator Mr. R.L.T.P Janse</t>
  </si>
  <si>
    <t>6131CS</t>
  </si>
  <si>
    <t>R.L.A.T. Verhappen                  h/o Golf Etc Nederland</t>
  </si>
  <si>
    <t>LEENDERWEG 29</t>
  </si>
  <si>
    <t>5554CK</t>
  </si>
  <si>
    <t>Ron for Run</t>
  </si>
  <si>
    <t>RECHTSTRAAT 35</t>
  </si>
  <si>
    <t>6221EG</t>
  </si>
  <si>
    <t>HEUTS HANDEL B.V.</t>
  </si>
  <si>
    <t>DE KOUMEN 38 40</t>
  </si>
  <si>
    <t>6433KD</t>
  </si>
  <si>
    <t>GRAVEERBEDRIJF PUTTERS V.O.F.</t>
  </si>
  <si>
    <t>HOLZSTRAAT 7</t>
  </si>
  <si>
    <t>6461HK</t>
  </si>
  <si>
    <t>Swiss Sense Holding B.V.</t>
  </si>
  <si>
    <t>JAGERSVELD 15</t>
  </si>
  <si>
    <t>5405BW</t>
  </si>
  <si>
    <t>Woonsquare B.V.</t>
  </si>
  <si>
    <t>VIDEOSTRAAT 21</t>
  </si>
  <si>
    <t>1322AA</t>
  </si>
  <si>
    <t>MEDIA MARKT HEERLEN BV</t>
  </si>
  <si>
    <t>CORIO CENTER 9</t>
  </si>
  <si>
    <t>6411LX</t>
  </si>
  <si>
    <t>Castelijn Fashion &amp; Denim</t>
  </si>
  <si>
    <t>MARKT 71</t>
  </si>
  <si>
    <t>6191JK</t>
  </si>
  <si>
    <t>Leen Bakker Nederland B.V.</t>
  </si>
  <si>
    <t>KARPERWEG 3</t>
  </si>
  <si>
    <t>4941SH</t>
  </si>
  <si>
    <t>RAAMSDONKSVEER</t>
  </si>
  <si>
    <t>Toma Cycles V.O.F.</t>
  </si>
  <si>
    <t>AKERSTRAAT 3</t>
  </si>
  <si>
    <t>6466HA</t>
  </si>
  <si>
    <t>Vattenfall Sales Nederland N.V.</t>
  </si>
  <si>
    <t>HOEKENRODE 8</t>
  </si>
  <si>
    <t>1102BR</t>
  </si>
  <si>
    <t>Delta Chesterfield Collection</t>
  </si>
  <si>
    <t>LEENDERWEG 115</t>
  </si>
  <si>
    <t>5614HM</t>
  </si>
  <si>
    <t>MUZIEKCENTRALE ADAMS B.V.</t>
  </si>
  <si>
    <t>AZIESTRAAT 17 19</t>
  </si>
  <si>
    <t>6014DA</t>
  </si>
  <si>
    <t>ITTERVOORT</t>
  </si>
  <si>
    <t>S.J.T. KNIBBELER                    h.o.d.n. Knibbeler Electro</t>
  </si>
  <si>
    <t>GANZEWEIDE 79</t>
  </si>
  <si>
    <t>6413GB</t>
  </si>
  <si>
    <t>V.O.F. ROGER WIJNEN SPORTIEF FIETSEN</t>
  </si>
  <si>
    <t>MAURITSLAAN 120 124</t>
  </si>
  <si>
    <t>6161HZ</t>
  </si>
  <si>
    <t>R. van Overdijk Tweewielers</t>
  </si>
  <si>
    <t>SPOORDONKSEWEG 91</t>
  </si>
  <si>
    <t>5688KC</t>
  </si>
  <si>
    <t>Mohren Sittard B.V.</t>
  </si>
  <si>
    <t>HOOGVELDLAAN 31 2</t>
  </si>
  <si>
    <t>6135JD</t>
  </si>
  <si>
    <t>Van den Broek Sport Eindhoven B.V.</t>
  </si>
  <si>
    <t>LIMBURGLAAN 7</t>
  </si>
  <si>
    <t>5616HR</t>
  </si>
  <si>
    <t>Farnell  (Netherlands) B.V.</t>
  </si>
  <si>
    <t>ZONNEBAAN 9</t>
  </si>
  <si>
    <t>3542EA</t>
  </si>
  <si>
    <t>H.G.J. Kennis Holding B.V.</t>
  </si>
  <si>
    <t>LANGLAAR 15</t>
  </si>
  <si>
    <t>5674SK</t>
  </si>
  <si>
    <t>L.J.H.G. JONGEN B.V.                h.o.d.n. Jongen Opticiens &amp;         Optometrie</t>
  </si>
  <si>
    <t>AKERSTRAAT 12 14</t>
  </si>
  <si>
    <t>6411HA</t>
  </si>
  <si>
    <t>Rijwielhuis J.P. Dieteren V.O.F.</t>
  </si>
  <si>
    <t>VLIEGENSTRAAT 1</t>
  </si>
  <si>
    <t>6241CE</t>
  </si>
  <si>
    <t>Electro Weerts B.V.</t>
  </si>
  <si>
    <t>DORPSTRAAT 1</t>
  </si>
  <si>
    <t>6227BK</t>
  </si>
  <si>
    <t>KEY DOEK B.V.</t>
  </si>
  <si>
    <t>BRUGWEG 1</t>
  </si>
  <si>
    <t>6102TE</t>
  </si>
  <si>
    <t>Media Markt Alkmaar B.V.</t>
  </si>
  <si>
    <t>NOORDERKADE 172</t>
  </si>
  <si>
    <t>MobielWerkt B.V.</t>
  </si>
  <si>
    <t>WAAGSTRAAT 1</t>
  </si>
  <si>
    <t>9712JX</t>
  </si>
  <si>
    <t>Juweliers van Sloun De Parel        Brunssum B.V.</t>
  </si>
  <si>
    <t>'T WINKELCENTRUM 1</t>
  </si>
  <si>
    <t>J.A.M. HELGERS                      h/o Tweewieler Centrum              Fred Helgers</t>
  </si>
  <si>
    <t>HOMMERTERWEG 86</t>
  </si>
  <si>
    <t>Jacobs Touringcars Euregio B.V.</t>
  </si>
  <si>
    <t>DE VALKENBERG 3</t>
  </si>
  <si>
    <t>KOELMAN MOTOREN B.V.</t>
  </si>
  <si>
    <t>LANGHECKWEG 2</t>
  </si>
  <si>
    <t>6468EL</t>
  </si>
  <si>
    <t>Ivizi Venlo B.V.</t>
  </si>
  <si>
    <t>VLEESSTRAAT 75</t>
  </si>
  <si>
    <t>5911JD</t>
  </si>
  <si>
    <t>V.O.F. MUZIEKHUIS DERA</t>
  </si>
  <si>
    <t>STATIONSTRAAT 5</t>
  </si>
  <si>
    <t>6411NG</t>
  </si>
  <si>
    <t>Media Markt Amersfoort B.V.</t>
  </si>
  <si>
    <t>EEMPLEIN 3</t>
  </si>
  <si>
    <t>3812EA</t>
  </si>
  <si>
    <t>Van Harten Amersfoort B.V.</t>
  </si>
  <si>
    <t>BERGSTRAAT 17</t>
  </si>
  <si>
    <t>3811NE</t>
  </si>
  <si>
    <t>V.O.F. Cycle Center 53-11</t>
  </si>
  <si>
    <t>VAN HEEMSTRAWEG-OOST 4</t>
  </si>
  <si>
    <t>5301KE</t>
  </si>
  <si>
    <t>ZALTBOMMEL</t>
  </si>
  <si>
    <t>G.J. KEMPEN B.V.</t>
  </si>
  <si>
    <t>NIEUWENHAGERHEIDESTRAAT 30</t>
  </si>
  <si>
    <t>6374EC</t>
  </si>
  <si>
    <t>Canon Business Center Oost B.V.</t>
  </si>
  <si>
    <t>LINGENSTRAAT 6 1E ETAGE</t>
  </si>
  <si>
    <t>8028PM</t>
  </si>
  <si>
    <t>John Vermeulen Fietsplezier Uden B.V</t>
  </si>
  <si>
    <t>LIESSENTSTRAAT 2 C</t>
  </si>
  <si>
    <t>5405AG</t>
  </si>
  <si>
    <t>EURO CLOCKS V.O.F.</t>
  </si>
  <si>
    <t>CAREL FABRITIUSSTRAAT 24</t>
  </si>
  <si>
    <t>6445XH</t>
  </si>
  <si>
    <t>Manders Oosterse Woonsferen B.V.</t>
  </si>
  <si>
    <t>FRANKENWEG 39</t>
  </si>
  <si>
    <t>5349AP</t>
  </si>
  <si>
    <t>OSS</t>
  </si>
  <si>
    <t>Autobedrijf Biermans Maastricht B.V.</t>
  </si>
  <si>
    <t>WEERHUISWEG 11</t>
  </si>
  <si>
    <t>6226NC</t>
  </si>
  <si>
    <t>Sporck V.O.F.</t>
  </si>
  <si>
    <t>DR. NOLENSLAAN 149</t>
  </si>
  <si>
    <t>Ces Sa</t>
  </si>
  <si>
    <t>WOLFEYNDE 12</t>
  </si>
  <si>
    <t>6191EB</t>
  </si>
  <si>
    <t>Meetwinkel B.V.</t>
  </si>
  <si>
    <t>R.J.M. DIEDEREN                     H/O RUITERSPORT LIMBURG</t>
  </si>
  <si>
    <t>BRUNSSUMMERSTRAAT 39</t>
  </si>
  <si>
    <t>Tweewielers van Woerden B.V.</t>
  </si>
  <si>
    <t>THERESIASTRAAT 304</t>
  </si>
  <si>
    <t>2593AX</t>
  </si>
  <si>
    <t>V.O.F. RADEMAKERS FUR EN FASHION</t>
  </si>
  <si>
    <t>ENGELENKAMPSTRAAT 55</t>
  </si>
  <si>
    <t>6131JE</t>
  </si>
  <si>
    <t>Hans van Wijk Motoren B.V.</t>
  </si>
  <si>
    <t>GOUDSTRAAT 97</t>
  </si>
  <si>
    <t>2718RD</t>
  </si>
  <si>
    <t>WARENHUIS VROMEN BRUNSSUM B.V.</t>
  </si>
  <si>
    <t>KERKSTRAAT 220</t>
  </si>
  <si>
    <t>Keukenloods B.V.</t>
  </si>
  <si>
    <t>DE VEKEN 330</t>
  </si>
  <si>
    <t>1716KJ</t>
  </si>
  <si>
    <t>OPMEER</t>
  </si>
  <si>
    <t>BUDE BOUWMARKT LANDGRAAF B.V.       Karwei Landgraaf</t>
  </si>
  <si>
    <t>HAVIKWEG 6</t>
  </si>
  <si>
    <t>C.E.M. Hees                         h/o Hees Lights &amp; Living</t>
  </si>
  <si>
    <t>ZUIDERPOORT 66</t>
  </si>
  <si>
    <t>6101KA</t>
  </si>
  <si>
    <t>G.E. Tienkamp                       h.d.o.d. muzet</t>
  </si>
  <si>
    <t>KOUVENDERSTRAAT 141</t>
  </si>
  <si>
    <t>6431HD</t>
  </si>
  <si>
    <t>I.P.J.M. Hermens h/o Iluminaire</t>
  </si>
  <si>
    <t>STATIONSPLEIN 1 UNIT 4F</t>
  </si>
  <si>
    <t>6131AS</t>
  </si>
  <si>
    <t>JUWELIER PIERRE MARTENS V.O.F.</t>
  </si>
  <si>
    <t>ORANJE NASSAUSTRAAT 18</t>
  </si>
  <si>
    <t>6411LH</t>
  </si>
  <si>
    <t>Baby-Dump B.V.</t>
  </si>
  <si>
    <t>ESDOORNSTRAAT 22 A</t>
  </si>
  <si>
    <t>5682CM</t>
  </si>
  <si>
    <t>Motorklading Store Eindhoven B.V.</t>
  </si>
  <si>
    <t>KASTELENPLEIN 169</t>
  </si>
  <si>
    <t>5653LX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</si>
</sst>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4"/>
  <sheetViews>
    <sheetView tabSelected="1" workbookViewId="0">
      <selection activeCell="G644" sqref="A1:G644"/>
    </sheetView>
  </sheetViews>
  <sheetFormatPr defaultRowHeight="15" x14ac:dyDescent="0.25"/>
  <cols>
    <col min="1" max="1" width="89.85546875" bestFit="1" customWidth="1"/>
    <col min="2" max="2" width="41" bestFit="1" customWidth="1"/>
    <col min="4" max="4" width="14.42578125" customWidth="1"/>
    <col min="5" max="5" width="15.28515625" customWidth="1"/>
    <col min="6" max="6" width="14" customWidth="1"/>
    <col min="7" max="7" width="15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C2" t="s">
        <v>8</v>
      </c>
      <c r="D2" t="s">
        <v>9</v>
      </c>
      <c r="E2" t="str">
        <f>"NL00740016260"</f>
        <v>NL00740016260</v>
      </c>
      <c r="F2" s="1">
        <v>43049</v>
      </c>
      <c r="G2" s="1">
        <v>44875</v>
      </c>
    </row>
    <row r="3" spans="1:7" x14ac:dyDescent="0.25">
      <c r="A3" t="s">
        <v>11</v>
      </c>
      <c r="B3" t="s">
        <v>12</v>
      </c>
      <c r="C3" t="s">
        <v>13</v>
      </c>
      <c r="D3" t="s">
        <v>14</v>
      </c>
      <c r="E3" t="str">
        <f>"NL00740025938"</f>
        <v>NL00740025938</v>
      </c>
      <c r="F3" s="1">
        <v>43775</v>
      </c>
      <c r="G3" s="1">
        <v>45602</v>
      </c>
    </row>
    <row r="4" spans="1:7" x14ac:dyDescent="0.25">
      <c r="A4" t="s">
        <v>15</v>
      </c>
      <c r="B4" t="s">
        <v>16</v>
      </c>
      <c r="C4" t="s">
        <v>17</v>
      </c>
      <c r="D4" t="s">
        <v>18</v>
      </c>
      <c r="E4" t="str">
        <f>"NL00740008278"</f>
        <v>NL00740008278</v>
      </c>
      <c r="F4" s="1">
        <v>42059</v>
      </c>
      <c r="G4" s="1">
        <v>45582</v>
      </c>
    </row>
    <row r="5" spans="1:7" x14ac:dyDescent="0.25">
      <c r="A5" t="s">
        <v>19</v>
      </c>
      <c r="B5" t="s">
        <v>20</v>
      </c>
      <c r="C5" t="s">
        <v>21</v>
      </c>
      <c r="D5" t="s">
        <v>22</v>
      </c>
      <c r="E5" t="str">
        <f>"NL00740014277"</f>
        <v>NL00740014277</v>
      </c>
      <c r="F5" s="1">
        <v>42747</v>
      </c>
      <c r="G5" s="1">
        <v>44572</v>
      </c>
    </row>
    <row r="6" spans="1:7" x14ac:dyDescent="0.25">
      <c r="A6" t="s">
        <v>23</v>
      </c>
      <c r="B6" t="s">
        <v>24</v>
      </c>
      <c r="C6" t="s">
        <v>25</v>
      </c>
      <c r="D6" t="s">
        <v>26</v>
      </c>
      <c r="E6" t="str">
        <f>"NL00740024240"</f>
        <v>NL00740024240</v>
      </c>
      <c r="F6" s="1">
        <v>43565</v>
      </c>
      <c r="G6" s="1">
        <v>45392</v>
      </c>
    </row>
    <row r="7" spans="1:7" x14ac:dyDescent="0.25">
      <c r="A7" t="s">
        <v>27</v>
      </c>
      <c r="B7" t="s">
        <v>28</v>
      </c>
      <c r="C7" t="s">
        <v>29</v>
      </c>
      <c r="D7" t="s">
        <v>30</v>
      </c>
      <c r="E7" t="str">
        <f>"NL00740012940"</f>
        <v>NL00740012940</v>
      </c>
      <c r="F7" s="1">
        <v>42544</v>
      </c>
      <c r="G7" s="1">
        <v>44370</v>
      </c>
    </row>
    <row r="8" spans="1:7" x14ac:dyDescent="0.25">
      <c r="A8" t="s">
        <v>32</v>
      </c>
      <c r="B8" t="s">
        <v>33</v>
      </c>
      <c r="C8" t="s">
        <v>34</v>
      </c>
      <c r="D8" t="s">
        <v>35</v>
      </c>
      <c r="E8" t="str">
        <f>"NL00740015849"</f>
        <v>NL00740015849</v>
      </c>
      <c r="F8" s="1">
        <v>42989</v>
      </c>
      <c r="G8" s="1">
        <v>44815</v>
      </c>
    </row>
    <row r="9" spans="1:7" x14ac:dyDescent="0.25">
      <c r="A9" t="s">
        <v>36</v>
      </c>
      <c r="B9" t="s">
        <v>37</v>
      </c>
      <c r="C9" t="s">
        <v>38</v>
      </c>
      <c r="D9" t="s">
        <v>39</v>
      </c>
      <c r="E9" t="str">
        <f>"NL00740012066"</f>
        <v>NL00740012066</v>
      </c>
      <c r="F9" s="1">
        <v>42436</v>
      </c>
      <c r="G9" s="1">
        <v>44249</v>
      </c>
    </row>
    <row r="10" spans="1:7" x14ac:dyDescent="0.25">
      <c r="A10" t="s">
        <v>40</v>
      </c>
      <c r="B10" t="s">
        <v>41</v>
      </c>
      <c r="C10" t="s">
        <v>42</v>
      </c>
      <c r="D10" t="s">
        <v>43</v>
      </c>
      <c r="E10" t="str">
        <f>"NL00740320452"</f>
        <v>NL00740320452</v>
      </c>
      <c r="F10" s="1">
        <v>41670</v>
      </c>
      <c r="G10" s="1">
        <v>44957</v>
      </c>
    </row>
    <row r="11" spans="1:7" x14ac:dyDescent="0.25">
      <c r="A11" t="s">
        <v>44</v>
      </c>
      <c r="B11" t="s">
        <v>45</v>
      </c>
      <c r="C11" t="s">
        <v>46</v>
      </c>
      <c r="D11" t="s">
        <v>47</v>
      </c>
      <c r="E11" t="str">
        <f>"NL00740026738"</f>
        <v>NL00740026738</v>
      </c>
      <c r="F11" s="1">
        <v>43894</v>
      </c>
      <c r="G11" s="1">
        <v>45720</v>
      </c>
    </row>
    <row r="12" spans="1:7" x14ac:dyDescent="0.25">
      <c r="A12" t="s">
        <v>49</v>
      </c>
      <c r="B12" t="s">
        <v>50</v>
      </c>
      <c r="C12" t="s">
        <v>51</v>
      </c>
      <c r="D12" t="s">
        <v>52</v>
      </c>
      <c r="E12" t="str">
        <f>"NL00740004782"</f>
        <v>NL00740004782</v>
      </c>
      <c r="F12" s="1">
        <v>41183</v>
      </c>
      <c r="G12" s="1">
        <v>44808</v>
      </c>
    </row>
    <row r="13" spans="1:7" x14ac:dyDescent="0.25">
      <c r="A13" t="s">
        <v>53</v>
      </c>
      <c r="B13" t="s">
        <v>54</v>
      </c>
      <c r="C13" t="s">
        <v>55</v>
      </c>
      <c r="D13" t="s">
        <v>43</v>
      </c>
      <c r="E13" t="str">
        <f>"NL00740008150"</f>
        <v>NL00740008150</v>
      </c>
      <c r="F13" s="1">
        <v>42045</v>
      </c>
      <c r="G13" s="1">
        <v>45580</v>
      </c>
    </row>
    <row r="14" spans="1:7" x14ac:dyDescent="0.25">
      <c r="A14" t="s">
        <v>56</v>
      </c>
      <c r="B14" t="s">
        <v>57</v>
      </c>
      <c r="C14" t="s">
        <v>58</v>
      </c>
      <c r="D14" t="s">
        <v>59</v>
      </c>
      <c r="E14" t="str">
        <f>"NL00740015160"</f>
        <v>NL00740015160</v>
      </c>
      <c r="F14" s="1">
        <v>42878</v>
      </c>
      <c r="G14" s="1">
        <v>44704</v>
      </c>
    </row>
    <row r="15" spans="1:7" x14ac:dyDescent="0.25">
      <c r="A15" t="s">
        <v>60</v>
      </c>
      <c r="C15" t="s">
        <v>61</v>
      </c>
      <c r="D15" t="s">
        <v>62</v>
      </c>
      <c r="E15" t="str">
        <f>"NL00740016083"</f>
        <v>NL00740016083</v>
      </c>
      <c r="F15" s="1">
        <v>43027</v>
      </c>
      <c r="G15" s="1">
        <v>44853</v>
      </c>
    </row>
    <row r="16" spans="1:7" x14ac:dyDescent="0.25">
      <c r="A16" t="s">
        <v>63</v>
      </c>
      <c r="B16" t="s">
        <v>64</v>
      </c>
      <c r="C16" t="s">
        <v>65</v>
      </c>
      <c r="D16" t="s">
        <v>66</v>
      </c>
      <c r="E16" t="str">
        <f>"NL00740026962"</f>
        <v>NL00740026962</v>
      </c>
      <c r="F16" s="1">
        <v>43938</v>
      </c>
      <c r="G16" s="1">
        <v>45763</v>
      </c>
    </row>
    <row r="17" spans="1:7" x14ac:dyDescent="0.25">
      <c r="A17" t="s">
        <v>67</v>
      </c>
      <c r="B17" t="s">
        <v>68</v>
      </c>
      <c r="C17" t="s">
        <v>69</v>
      </c>
      <c r="D17" t="s">
        <v>66</v>
      </c>
      <c r="E17" t="str">
        <f>"NL00740027270"</f>
        <v>NL00740027270</v>
      </c>
      <c r="F17" s="1">
        <v>44020</v>
      </c>
      <c r="G17" s="1">
        <v>45846</v>
      </c>
    </row>
    <row r="18" spans="1:7" x14ac:dyDescent="0.25">
      <c r="A18" t="s">
        <v>70</v>
      </c>
      <c r="B18" t="s">
        <v>71</v>
      </c>
      <c r="C18" t="s">
        <v>72</v>
      </c>
      <c r="D18" t="s">
        <v>73</v>
      </c>
      <c r="E18" t="str">
        <f>"NL00740009859"</f>
        <v>NL00740009859</v>
      </c>
      <c r="F18" s="1">
        <v>42313</v>
      </c>
      <c r="G18" s="1">
        <v>44140</v>
      </c>
    </row>
    <row r="19" spans="1:7" x14ac:dyDescent="0.25">
      <c r="A19" t="s">
        <v>74</v>
      </c>
      <c r="B19" t="s">
        <v>75</v>
      </c>
      <c r="C19" t="s">
        <v>76</v>
      </c>
      <c r="D19" t="s">
        <v>77</v>
      </c>
      <c r="E19" t="str">
        <f>"NL00740026050"</f>
        <v>NL00740026050</v>
      </c>
      <c r="F19" s="1">
        <v>43789</v>
      </c>
      <c r="G19" s="1">
        <v>45616</v>
      </c>
    </row>
    <row r="20" spans="1:7" x14ac:dyDescent="0.25">
      <c r="A20" t="s">
        <v>80</v>
      </c>
      <c r="B20" t="s">
        <v>81</v>
      </c>
      <c r="C20" t="s">
        <v>82</v>
      </c>
      <c r="D20" t="s">
        <v>83</v>
      </c>
      <c r="E20" t="str">
        <f>"NL00740017913"</f>
        <v>NL00740017913</v>
      </c>
      <c r="F20" s="1">
        <v>43262</v>
      </c>
      <c r="G20" s="1">
        <v>45083</v>
      </c>
    </row>
    <row r="21" spans="1:7" x14ac:dyDescent="0.25">
      <c r="A21" t="s">
        <v>85</v>
      </c>
      <c r="B21" t="s">
        <v>86</v>
      </c>
      <c r="C21" t="s">
        <v>87</v>
      </c>
      <c r="D21" t="s">
        <v>88</v>
      </c>
      <c r="E21" t="str">
        <f>"NL00740021318"</f>
        <v>NL00740021318</v>
      </c>
      <c r="F21" s="1">
        <v>43453</v>
      </c>
      <c r="G21" s="1">
        <v>45278</v>
      </c>
    </row>
    <row r="22" spans="1:7" x14ac:dyDescent="0.25">
      <c r="A22" t="s">
        <v>89</v>
      </c>
      <c r="B22" t="s">
        <v>90</v>
      </c>
      <c r="C22" t="s">
        <v>91</v>
      </c>
      <c r="D22" t="s">
        <v>10</v>
      </c>
      <c r="E22" t="str">
        <f>"NL00740017544"</f>
        <v>NL00740017544</v>
      </c>
      <c r="F22" s="1">
        <v>43215</v>
      </c>
      <c r="G22" s="1">
        <v>45041</v>
      </c>
    </row>
    <row r="23" spans="1:7" x14ac:dyDescent="0.25">
      <c r="A23" t="s">
        <v>92</v>
      </c>
      <c r="B23" t="s">
        <v>93</v>
      </c>
      <c r="C23" t="s">
        <v>42</v>
      </c>
      <c r="D23" t="s">
        <v>43</v>
      </c>
      <c r="E23" t="str">
        <f>"NL00740007805"</f>
        <v>NL00740007805</v>
      </c>
      <c r="F23" s="1">
        <v>41988</v>
      </c>
      <c r="G23" s="1">
        <v>45525</v>
      </c>
    </row>
    <row r="24" spans="1:7" x14ac:dyDescent="0.25">
      <c r="A24" t="s">
        <v>94</v>
      </c>
      <c r="B24" t="s">
        <v>95</v>
      </c>
      <c r="C24" t="s">
        <v>96</v>
      </c>
      <c r="D24" t="s">
        <v>66</v>
      </c>
      <c r="E24" t="str">
        <f>"NL00740010442"</f>
        <v>NL00740010442</v>
      </c>
      <c r="F24" s="1">
        <v>42415</v>
      </c>
      <c r="G24" s="1">
        <v>44242</v>
      </c>
    </row>
    <row r="25" spans="1:7" x14ac:dyDescent="0.25">
      <c r="A25" t="s">
        <v>97</v>
      </c>
      <c r="B25" t="s">
        <v>98</v>
      </c>
      <c r="C25" t="s">
        <v>99</v>
      </c>
      <c r="D25" t="s">
        <v>52</v>
      </c>
      <c r="E25" t="str">
        <f>"NL00740025982"</f>
        <v>NL00740025982</v>
      </c>
      <c r="F25" s="1">
        <v>43782</v>
      </c>
      <c r="G25" s="1">
        <v>45609</v>
      </c>
    </row>
    <row r="26" spans="1:7" x14ac:dyDescent="0.25">
      <c r="A26" t="s">
        <v>100</v>
      </c>
      <c r="B26" t="s">
        <v>101</v>
      </c>
      <c r="C26" t="s">
        <v>102</v>
      </c>
      <c r="D26" t="s">
        <v>43</v>
      </c>
      <c r="E26" t="str">
        <f>"NL00740015364"</f>
        <v>NL00740015364</v>
      </c>
      <c r="F26" s="1">
        <v>42912</v>
      </c>
      <c r="G26" s="1">
        <v>44738</v>
      </c>
    </row>
    <row r="27" spans="1:7" x14ac:dyDescent="0.25">
      <c r="A27" t="s">
        <v>103</v>
      </c>
      <c r="B27" t="s">
        <v>104</v>
      </c>
      <c r="C27" t="s">
        <v>105</v>
      </c>
      <c r="D27" t="s">
        <v>106</v>
      </c>
      <c r="E27" t="str">
        <f>"NL00740002635"</f>
        <v>NL00740002635</v>
      </c>
      <c r="F27" s="1">
        <v>40983</v>
      </c>
      <c r="G27" s="1">
        <v>44606</v>
      </c>
    </row>
    <row r="28" spans="1:7" x14ac:dyDescent="0.25">
      <c r="A28" t="s">
        <v>107</v>
      </c>
      <c r="B28" t="s">
        <v>108</v>
      </c>
      <c r="C28" t="s">
        <v>109</v>
      </c>
      <c r="D28" t="s">
        <v>52</v>
      </c>
      <c r="E28" t="str">
        <f>"NL00740016837"</f>
        <v>NL00740016837</v>
      </c>
      <c r="F28" s="1">
        <v>43131</v>
      </c>
      <c r="G28" s="1">
        <v>44957</v>
      </c>
    </row>
    <row r="29" spans="1:7" x14ac:dyDescent="0.25">
      <c r="A29" t="s">
        <v>110</v>
      </c>
      <c r="B29" t="s">
        <v>111</v>
      </c>
      <c r="C29" t="s">
        <v>112</v>
      </c>
      <c r="D29" t="s">
        <v>48</v>
      </c>
      <c r="E29" t="str">
        <f>"NL00740026362"</f>
        <v>NL00740026362</v>
      </c>
      <c r="F29" s="1">
        <v>43859</v>
      </c>
      <c r="G29" s="1">
        <v>45686</v>
      </c>
    </row>
    <row r="30" spans="1:7" x14ac:dyDescent="0.25">
      <c r="A30" t="s">
        <v>113</v>
      </c>
      <c r="B30" t="s">
        <v>114</v>
      </c>
      <c r="C30" t="s">
        <v>115</v>
      </c>
      <c r="D30" t="s">
        <v>43</v>
      </c>
      <c r="E30" t="str">
        <f>"NL00740018587"</f>
        <v>NL00740018587</v>
      </c>
      <c r="F30" s="1">
        <v>43334</v>
      </c>
      <c r="G30" s="1">
        <v>45160</v>
      </c>
    </row>
    <row r="31" spans="1:7" x14ac:dyDescent="0.25">
      <c r="A31" t="s">
        <v>116</v>
      </c>
      <c r="B31" t="s">
        <v>117</v>
      </c>
      <c r="C31" t="s">
        <v>118</v>
      </c>
      <c r="D31" t="s">
        <v>119</v>
      </c>
      <c r="E31" t="str">
        <f>"NL00740009817"</f>
        <v>NL00740009817</v>
      </c>
      <c r="F31" s="1">
        <v>42310</v>
      </c>
      <c r="G31" s="1">
        <v>44137</v>
      </c>
    </row>
    <row r="32" spans="1:7" x14ac:dyDescent="0.25">
      <c r="A32" t="s">
        <v>120</v>
      </c>
      <c r="B32" t="s">
        <v>121</v>
      </c>
      <c r="C32" t="s">
        <v>122</v>
      </c>
      <c r="D32" t="s">
        <v>123</v>
      </c>
      <c r="E32" t="str">
        <f>"NL00740017483"</f>
        <v>NL00740017483</v>
      </c>
      <c r="F32" s="1">
        <v>43207</v>
      </c>
      <c r="G32" s="1">
        <v>45033</v>
      </c>
    </row>
    <row r="33" spans="1:7" x14ac:dyDescent="0.25">
      <c r="A33" t="s">
        <v>124</v>
      </c>
      <c r="C33" t="s">
        <v>125</v>
      </c>
      <c r="D33" t="s">
        <v>126</v>
      </c>
      <c r="E33" t="str">
        <f>"NL00740017184"</f>
        <v>NL00740017184</v>
      </c>
      <c r="F33" s="1">
        <v>43178</v>
      </c>
      <c r="G33" s="1">
        <v>45004</v>
      </c>
    </row>
    <row r="34" spans="1:7" x14ac:dyDescent="0.25">
      <c r="A34" t="s">
        <v>127</v>
      </c>
      <c r="B34" t="s">
        <v>128</v>
      </c>
      <c r="C34" t="s">
        <v>129</v>
      </c>
      <c r="D34" t="s">
        <v>66</v>
      </c>
      <c r="E34" t="str">
        <f>"NL00740010007"</f>
        <v>NL00740010007</v>
      </c>
      <c r="F34" s="1">
        <v>42335</v>
      </c>
      <c r="G34" s="1">
        <v>44162</v>
      </c>
    </row>
    <row r="35" spans="1:7" x14ac:dyDescent="0.25">
      <c r="A35" t="s">
        <v>130</v>
      </c>
      <c r="B35" t="s">
        <v>131</v>
      </c>
      <c r="C35" t="s">
        <v>132</v>
      </c>
      <c r="D35" t="s">
        <v>43</v>
      </c>
      <c r="E35" t="str">
        <f>"NL00740012198"</f>
        <v>NL00740012198</v>
      </c>
      <c r="F35" s="1">
        <v>42452</v>
      </c>
      <c r="G35" s="1">
        <v>44269</v>
      </c>
    </row>
    <row r="36" spans="1:7" x14ac:dyDescent="0.25">
      <c r="A36" t="s">
        <v>133</v>
      </c>
      <c r="B36" t="s">
        <v>134</v>
      </c>
      <c r="C36" t="s">
        <v>135</v>
      </c>
      <c r="D36" t="s">
        <v>136</v>
      </c>
      <c r="E36" t="str">
        <f>"NL00740012680"</f>
        <v>NL00740012680</v>
      </c>
      <c r="F36" s="1">
        <v>42510</v>
      </c>
      <c r="G36" s="1">
        <v>44336</v>
      </c>
    </row>
    <row r="37" spans="1:7" x14ac:dyDescent="0.25">
      <c r="A37" t="s">
        <v>137</v>
      </c>
      <c r="B37" t="s">
        <v>138</v>
      </c>
      <c r="C37" t="s">
        <v>139</v>
      </c>
      <c r="D37" t="s">
        <v>140</v>
      </c>
      <c r="E37" t="str">
        <f>"NL00740015625"</f>
        <v>NL00740015625</v>
      </c>
      <c r="F37" s="1">
        <v>42944</v>
      </c>
      <c r="G37" s="1">
        <v>44770</v>
      </c>
    </row>
    <row r="38" spans="1:7" x14ac:dyDescent="0.25">
      <c r="A38" t="s">
        <v>141</v>
      </c>
      <c r="B38" t="s">
        <v>64</v>
      </c>
      <c r="C38" t="s">
        <v>65</v>
      </c>
      <c r="D38" t="s">
        <v>66</v>
      </c>
      <c r="E38" t="str">
        <f>"NL00740012630"</f>
        <v>NL00740012630</v>
      </c>
      <c r="F38" s="1">
        <v>42494</v>
      </c>
      <c r="G38" s="1">
        <v>44320</v>
      </c>
    </row>
    <row r="39" spans="1:7" x14ac:dyDescent="0.25">
      <c r="A39" t="s">
        <v>142</v>
      </c>
      <c r="B39" t="s">
        <v>143</v>
      </c>
      <c r="C39" t="s">
        <v>144</v>
      </c>
      <c r="D39" t="s">
        <v>10</v>
      </c>
      <c r="E39" t="str">
        <f>"NL00740027650"</f>
        <v>NL00740027650</v>
      </c>
      <c r="F39" s="1">
        <v>44089</v>
      </c>
      <c r="G39" s="1">
        <v>45915</v>
      </c>
    </row>
    <row r="40" spans="1:7" x14ac:dyDescent="0.25">
      <c r="A40" t="s">
        <v>145</v>
      </c>
      <c r="B40" t="s">
        <v>146</v>
      </c>
      <c r="C40" t="s">
        <v>147</v>
      </c>
      <c r="D40" t="s">
        <v>39</v>
      </c>
      <c r="E40" t="str">
        <f>"NL00740007727"</f>
        <v>NL00740007727</v>
      </c>
      <c r="F40" s="1">
        <v>41974</v>
      </c>
      <c r="G40" s="1">
        <v>45530</v>
      </c>
    </row>
    <row r="41" spans="1:7" x14ac:dyDescent="0.25">
      <c r="A41" t="s">
        <v>149</v>
      </c>
      <c r="B41" t="s">
        <v>150</v>
      </c>
      <c r="C41" t="s">
        <v>151</v>
      </c>
      <c r="D41" t="s">
        <v>48</v>
      </c>
      <c r="E41" t="str">
        <f>"NL00740017639"</f>
        <v>NL00740017639</v>
      </c>
      <c r="F41" s="1">
        <v>43223</v>
      </c>
      <c r="G41" s="1">
        <v>45049</v>
      </c>
    </row>
    <row r="42" spans="1:7" x14ac:dyDescent="0.25">
      <c r="A42" t="s">
        <v>152</v>
      </c>
      <c r="B42" t="s">
        <v>153</v>
      </c>
      <c r="C42" t="s">
        <v>154</v>
      </c>
      <c r="D42" t="s">
        <v>10</v>
      </c>
      <c r="E42" t="str">
        <f>"NL00740026739"</f>
        <v>NL00740026739</v>
      </c>
      <c r="F42" s="1">
        <v>43894</v>
      </c>
      <c r="G42" s="1">
        <v>45720</v>
      </c>
    </row>
    <row r="43" spans="1:7" x14ac:dyDescent="0.25">
      <c r="A43" t="s">
        <v>155</v>
      </c>
      <c r="B43" t="s">
        <v>156</v>
      </c>
      <c r="C43" t="s">
        <v>51</v>
      </c>
      <c r="D43" t="s">
        <v>52</v>
      </c>
      <c r="E43" t="str">
        <f>"NL00740008924"</f>
        <v>NL00740008924</v>
      </c>
      <c r="F43" s="1">
        <v>42158</v>
      </c>
      <c r="G43" s="1">
        <v>45728</v>
      </c>
    </row>
    <row r="44" spans="1:7" x14ac:dyDescent="0.25">
      <c r="A44" t="s">
        <v>158</v>
      </c>
      <c r="B44" t="s">
        <v>159</v>
      </c>
      <c r="C44" t="s">
        <v>160</v>
      </c>
      <c r="D44" t="s">
        <v>43</v>
      </c>
      <c r="E44" t="str">
        <f>"NL00740019820"</f>
        <v>NL00740019820</v>
      </c>
      <c r="F44" s="1">
        <v>43412</v>
      </c>
      <c r="G44" s="1">
        <v>45238</v>
      </c>
    </row>
    <row r="45" spans="1:7" x14ac:dyDescent="0.25">
      <c r="A45" t="s">
        <v>161</v>
      </c>
      <c r="B45" t="s">
        <v>162</v>
      </c>
      <c r="C45" t="s">
        <v>163</v>
      </c>
      <c r="D45" t="s">
        <v>77</v>
      </c>
      <c r="E45" t="str">
        <f>"NL00740012828"</f>
        <v>NL00740012828</v>
      </c>
      <c r="F45" s="1">
        <v>42527</v>
      </c>
      <c r="G45" s="1">
        <v>44353</v>
      </c>
    </row>
    <row r="46" spans="1:7" x14ac:dyDescent="0.25">
      <c r="A46" t="s">
        <v>164</v>
      </c>
      <c r="B46" t="s">
        <v>165</v>
      </c>
      <c r="C46" t="s">
        <v>166</v>
      </c>
      <c r="D46" t="s">
        <v>167</v>
      </c>
      <c r="E46" t="str">
        <f>"NL00740026851"</f>
        <v>NL00740026851</v>
      </c>
      <c r="F46" s="1">
        <v>43917</v>
      </c>
      <c r="G46" s="1">
        <v>45743</v>
      </c>
    </row>
    <row r="47" spans="1:7" x14ac:dyDescent="0.25">
      <c r="A47" t="s">
        <v>168</v>
      </c>
      <c r="B47" t="s">
        <v>169</v>
      </c>
      <c r="C47" t="s">
        <v>170</v>
      </c>
      <c r="D47" t="s">
        <v>171</v>
      </c>
      <c r="E47" t="str">
        <f>"NL00740024825"</f>
        <v>NL00740024825</v>
      </c>
      <c r="F47" s="1">
        <v>43636</v>
      </c>
      <c r="G47" s="1">
        <v>45463</v>
      </c>
    </row>
    <row r="48" spans="1:7" x14ac:dyDescent="0.25">
      <c r="A48" t="s">
        <v>172</v>
      </c>
      <c r="B48" t="s">
        <v>173</v>
      </c>
      <c r="C48" t="s">
        <v>174</v>
      </c>
      <c r="D48" t="s">
        <v>66</v>
      </c>
      <c r="E48" t="str">
        <f>"NL00740006033"</f>
        <v>NL00740006033</v>
      </c>
      <c r="F48" s="1">
        <v>41379</v>
      </c>
      <c r="G48" s="1">
        <v>44959</v>
      </c>
    </row>
    <row r="49" spans="1:7" x14ac:dyDescent="0.25">
      <c r="A49" t="s">
        <v>175</v>
      </c>
      <c r="B49" t="s">
        <v>176</v>
      </c>
      <c r="C49" t="s">
        <v>51</v>
      </c>
      <c r="D49" t="s">
        <v>52</v>
      </c>
      <c r="E49" t="str">
        <f>"NL00740009869"</f>
        <v>NL00740009869</v>
      </c>
      <c r="F49" s="1">
        <v>42320</v>
      </c>
      <c r="G49" s="1">
        <v>44147</v>
      </c>
    </row>
    <row r="50" spans="1:7" x14ac:dyDescent="0.25">
      <c r="A50" t="s">
        <v>177</v>
      </c>
      <c r="B50" t="s">
        <v>178</v>
      </c>
      <c r="C50" t="s">
        <v>179</v>
      </c>
      <c r="D50" t="s">
        <v>180</v>
      </c>
      <c r="E50" t="str">
        <f>"NL00740023559"</f>
        <v>NL00740023559</v>
      </c>
      <c r="F50" s="1">
        <v>43522</v>
      </c>
      <c r="G50" s="1">
        <v>45348</v>
      </c>
    </row>
    <row r="51" spans="1:7" x14ac:dyDescent="0.25">
      <c r="A51" t="s">
        <v>181</v>
      </c>
      <c r="B51" t="s">
        <v>182</v>
      </c>
      <c r="C51" t="s">
        <v>183</v>
      </c>
      <c r="D51" t="s">
        <v>184</v>
      </c>
      <c r="E51" t="str">
        <f>"NL00740016551"</f>
        <v>NL00740016551</v>
      </c>
      <c r="F51" s="1">
        <v>43096</v>
      </c>
      <c r="G51" s="1">
        <v>44922</v>
      </c>
    </row>
    <row r="52" spans="1:7" x14ac:dyDescent="0.25">
      <c r="A52" t="s">
        <v>185</v>
      </c>
      <c r="B52" t="s">
        <v>186</v>
      </c>
      <c r="C52" t="s">
        <v>187</v>
      </c>
      <c r="D52" t="s">
        <v>52</v>
      </c>
      <c r="E52" t="str">
        <f>"NL00740027279"</f>
        <v>NL00740027279</v>
      </c>
      <c r="F52" s="1">
        <v>44021</v>
      </c>
      <c r="G52" s="1">
        <v>45847</v>
      </c>
    </row>
    <row r="53" spans="1:7" x14ac:dyDescent="0.25">
      <c r="A53" t="s">
        <v>188</v>
      </c>
      <c r="B53" t="s">
        <v>189</v>
      </c>
      <c r="C53" t="s">
        <v>190</v>
      </c>
      <c r="D53" t="s">
        <v>191</v>
      </c>
      <c r="E53" t="str">
        <f>"NL00740010703"</f>
        <v>NL00740010703</v>
      </c>
      <c r="F53" s="1">
        <v>42416</v>
      </c>
      <c r="G53" s="1">
        <v>44243</v>
      </c>
    </row>
    <row r="54" spans="1:7" x14ac:dyDescent="0.25">
      <c r="A54" t="s">
        <v>192</v>
      </c>
      <c r="B54" t="s">
        <v>193</v>
      </c>
      <c r="C54" t="s">
        <v>194</v>
      </c>
      <c r="D54" t="s">
        <v>66</v>
      </c>
      <c r="E54" t="str">
        <f>"NL07400021207"</f>
        <v>NL07400021207</v>
      </c>
      <c r="F54" s="1">
        <v>43448</v>
      </c>
      <c r="G54" s="1">
        <v>45274</v>
      </c>
    </row>
    <row r="55" spans="1:7" x14ac:dyDescent="0.25">
      <c r="A55" t="s">
        <v>195</v>
      </c>
      <c r="C55" t="s">
        <v>196</v>
      </c>
      <c r="D55" t="s">
        <v>197</v>
      </c>
      <c r="E55" t="str">
        <f>"NL00740014249"</f>
        <v>NL00740014249</v>
      </c>
      <c r="F55" s="1">
        <v>42744</v>
      </c>
      <c r="G55" s="1">
        <v>44567</v>
      </c>
    </row>
    <row r="56" spans="1:7" x14ac:dyDescent="0.25">
      <c r="A56" t="s">
        <v>198</v>
      </c>
      <c r="B56" t="s">
        <v>199</v>
      </c>
      <c r="C56" t="s">
        <v>200</v>
      </c>
      <c r="D56" t="s">
        <v>201</v>
      </c>
      <c r="E56" t="str">
        <f>"NL00740015871"</f>
        <v>NL00740015871</v>
      </c>
      <c r="F56" s="1">
        <v>42991</v>
      </c>
      <c r="G56" s="1">
        <v>44817</v>
      </c>
    </row>
    <row r="57" spans="1:7" x14ac:dyDescent="0.25">
      <c r="A57" t="s">
        <v>202</v>
      </c>
      <c r="C57" t="s">
        <v>203</v>
      </c>
      <c r="D57" t="s">
        <v>126</v>
      </c>
      <c r="E57" t="str">
        <f>"NL00740010006"</f>
        <v>NL00740010006</v>
      </c>
      <c r="F57" s="1">
        <v>42335</v>
      </c>
      <c r="G57" s="1">
        <v>44162</v>
      </c>
    </row>
    <row r="58" spans="1:7" x14ac:dyDescent="0.25">
      <c r="A58" t="s">
        <v>204</v>
      </c>
      <c r="B58" t="s">
        <v>205</v>
      </c>
      <c r="C58" t="s">
        <v>206</v>
      </c>
      <c r="D58" t="s">
        <v>207</v>
      </c>
      <c r="E58" t="str">
        <f>"NL00740015080"</f>
        <v>NL00740015080</v>
      </c>
      <c r="F58" s="1">
        <v>42864</v>
      </c>
      <c r="G58" s="1">
        <v>44690</v>
      </c>
    </row>
    <row r="59" spans="1:7" x14ac:dyDescent="0.25">
      <c r="A59" t="s">
        <v>208</v>
      </c>
      <c r="B59" t="s">
        <v>209</v>
      </c>
      <c r="C59" t="s">
        <v>210</v>
      </c>
      <c r="D59" t="s">
        <v>211</v>
      </c>
      <c r="E59" t="str">
        <f>"NL00740015733"</f>
        <v>NL00740015733</v>
      </c>
      <c r="F59" s="1">
        <v>42964</v>
      </c>
      <c r="G59" s="1">
        <v>44790</v>
      </c>
    </row>
    <row r="60" spans="1:7" x14ac:dyDescent="0.25">
      <c r="A60" t="s">
        <v>212</v>
      </c>
      <c r="B60" t="s">
        <v>213</v>
      </c>
      <c r="C60" t="s">
        <v>214</v>
      </c>
      <c r="D60" t="s">
        <v>215</v>
      </c>
      <c r="E60" t="str">
        <f>"NL00740007428"</f>
        <v>NL00740007428</v>
      </c>
      <c r="F60" s="1">
        <v>41927</v>
      </c>
      <c r="G60" s="1">
        <v>45532</v>
      </c>
    </row>
    <row r="61" spans="1:7" x14ac:dyDescent="0.25">
      <c r="A61" t="s">
        <v>216</v>
      </c>
      <c r="B61" t="s">
        <v>217</v>
      </c>
      <c r="C61" t="s">
        <v>42</v>
      </c>
      <c r="D61" t="s">
        <v>43</v>
      </c>
      <c r="E61" t="str">
        <f>"NL00740002812"</f>
        <v>NL00740002812</v>
      </c>
      <c r="F61" s="1">
        <v>41000</v>
      </c>
      <c r="G61" s="1">
        <v>44651</v>
      </c>
    </row>
    <row r="62" spans="1:7" x14ac:dyDescent="0.25">
      <c r="A62" t="s">
        <v>218</v>
      </c>
      <c r="B62" t="s">
        <v>219</v>
      </c>
      <c r="C62" t="s">
        <v>220</v>
      </c>
      <c r="D62" t="s">
        <v>221</v>
      </c>
      <c r="E62" t="str">
        <f>"NL00740012301"</f>
        <v>NL00740012301</v>
      </c>
      <c r="F62" s="1">
        <v>42459</v>
      </c>
      <c r="G62" s="1">
        <v>44285</v>
      </c>
    </row>
    <row r="63" spans="1:7" x14ac:dyDescent="0.25">
      <c r="A63" t="s">
        <v>222</v>
      </c>
      <c r="B63" t="s">
        <v>223</v>
      </c>
      <c r="C63" t="s">
        <v>224</v>
      </c>
      <c r="D63" t="s">
        <v>225</v>
      </c>
      <c r="E63" t="str">
        <f>"NL00740025332"</f>
        <v>NL00740025332</v>
      </c>
      <c r="F63" s="1">
        <v>43711</v>
      </c>
      <c r="G63" s="1">
        <v>45538</v>
      </c>
    </row>
    <row r="64" spans="1:7" x14ac:dyDescent="0.25">
      <c r="A64" t="s">
        <v>226</v>
      </c>
      <c r="B64" t="s">
        <v>227</v>
      </c>
      <c r="C64" t="s">
        <v>228</v>
      </c>
      <c r="D64" t="s">
        <v>39</v>
      </c>
      <c r="E64" t="str">
        <f>"NL00740009870"</f>
        <v>NL00740009870</v>
      </c>
      <c r="F64" s="1">
        <v>42320</v>
      </c>
      <c r="G64" s="1">
        <v>44147</v>
      </c>
    </row>
    <row r="65" spans="1:7" x14ac:dyDescent="0.25">
      <c r="A65" t="s">
        <v>229</v>
      </c>
      <c r="B65" t="s">
        <v>230</v>
      </c>
      <c r="C65" t="s">
        <v>231</v>
      </c>
      <c r="D65" t="s">
        <v>43</v>
      </c>
      <c r="E65" t="str">
        <f>"NL00740001667"</f>
        <v>NL00740001667</v>
      </c>
      <c r="F65" s="1">
        <v>40862</v>
      </c>
      <c r="G65" s="1">
        <v>44398</v>
      </c>
    </row>
    <row r="66" spans="1:7" x14ac:dyDescent="0.25">
      <c r="A66" t="s">
        <v>232</v>
      </c>
      <c r="B66" t="s">
        <v>233</v>
      </c>
      <c r="C66" t="s">
        <v>234</v>
      </c>
      <c r="D66" t="s">
        <v>140</v>
      </c>
      <c r="E66" t="str">
        <f>"NL00740009860"</f>
        <v>NL00740009860</v>
      </c>
      <c r="F66" s="1">
        <v>42313</v>
      </c>
      <c r="G66" s="1">
        <v>44140</v>
      </c>
    </row>
    <row r="67" spans="1:7" x14ac:dyDescent="0.25">
      <c r="A67" t="s">
        <v>235</v>
      </c>
      <c r="B67" t="s">
        <v>236</v>
      </c>
      <c r="C67" t="s">
        <v>237</v>
      </c>
      <c r="D67" t="s">
        <v>238</v>
      </c>
      <c r="E67" t="str">
        <f>"NL00740015251"</f>
        <v>NL00740015251</v>
      </c>
      <c r="F67" s="1">
        <v>42894</v>
      </c>
      <c r="G67" s="1">
        <v>44719</v>
      </c>
    </row>
    <row r="68" spans="1:7" x14ac:dyDescent="0.25">
      <c r="A68" t="s">
        <v>239</v>
      </c>
      <c r="B68" t="s">
        <v>240</v>
      </c>
      <c r="C68" t="s">
        <v>241</v>
      </c>
      <c r="D68" t="s">
        <v>73</v>
      </c>
      <c r="E68" t="str">
        <f>"NL00740009871"</f>
        <v>NL00740009871</v>
      </c>
      <c r="F68" s="1">
        <v>42320</v>
      </c>
      <c r="G68" s="1">
        <v>44147</v>
      </c>
    </row>
    <row r="69" spans="1:7" x14ac:dyDescent="0.25">
      <c r="A69" t="s">
        <v>242</v>
      </c>
      <c r="B69" t="s">
        <v>243</v>
      </c>
      <c r="C69" t="s">
        <v>244</v>
      </c>
      <c r="D69" t="s">
        <v>245</v>
      </c>
      <c r="E69" t="str">
        <f>"NL00740026078"</f>
        <v>NL00740026078</v>
      </c>
      <c r="F69" s="1">
        <v>43796</v>
      </c>
      <c r="G69" s="1">
        <v>45623</v>
      </c>
    </row>
    <row r="70" spans="1:7" x14ac:dyDescent="0.25">
      <c r="A70" t="s">
        <v>246</v>
      </c>
      <c r="B70" t="s">
        <v>247</v>
      </c>
      <c r="C70" t="s">
        <v>248</v>
      </c>
      <c r="D70" t="s">
        <v>249</v>
      </c>
      <c r="E70" t="str">
        <f>"NL00740007642"</f>
        <v>NL00740007642</v>
      </c>
      <c r="F70" s="1">
        <v>41960</v>
      </c>
      <c r="G70" s="1">
        <v>45540</v>
      </c>
    </row>
    <row r="71" spans="1:7" x14ac:dyDescent="0.25">
      <c r="A71" t="s">
        <v>250</v>
      </c>
      <c r="B71" t="s">
        <v>251</v>
      </c>
      <c r="C71" t="s">
        <v>252</v>
      </c>
      <c r="D71" t="s">
        <v>253</v>
      </c>
      <c r="E71" t="str">
        <f>"NL00740325202"</f>
        <v>NL00740325202</v>
      </c>
      <c r="F71" s="1">
        <v>41713</v>
      </c>
      <c r="G71" s="1">
        <v>45341</v>
      </c>
    </row>
    <row r="72" spans="1:7" x14ac:dyDescent="0.25">
      <c r="A72" t="s">
        <v>254</v>
      </c>
      <c r="B72" t="s">
        <v>255</v>
      </c>
      <c r="C72" t="s">
        <v>256</v>
      </c>
      <c r="D72" t="s">
        <v>18</v>
      </c>
      <c r="E72" t="str">
        <f>"NL00740006951"</f>
        <v>NL00740006951</v>
      </c>
      <c r="F72" s="1">
        <v>41850</v>
      </c>
      <c r="G72" s="1">
        <v>45471</v>
      </c>
    </row>
    <row r="73" spans="1:7" x14ac:dyDescent="0.25">
      <c r="A73" t="s">
        <v>257</v>
      </c>
      <c r="B73" t="s">
        <v>258</v>
      </c>
      <c r="C73" t="s">
        <v>259</v>
      </c>
      <c r="D73" t="s">
        <v>260</v>
      </c>
      <c r="E73" t="str">
        <f>"NL00740017600"</f>
        <v>NL00740017600</v>
      </c>
      <c r="F73" s="1">
        <v>43220</v>
      </c>
      <c r="G73" s="1">
        <v>45046</v>
      </c>
    </row>
    <row r="74" spans="1:7" x14ac:dyDescent="0.25">
      <c r="A74" t="s">
        <v>261</v>
      </c>
      <c r="B74" t="s">
        <v>262</v>
      </c>
      <c r="C74" t="s">
        <v>263</v>
      </c>
      <c r="D74" t="s">
        <v>264</v>
      </c>
      <c r="E74" t="str">
        <f>"NL00740014329"</f>
        <v>NL00740014329</v>
      </c>
      <c r="F74" s="1">
        <v>42754</v>
      </c>
      <c r="G74" s="1">
        <v>44579</v>
      </c>
    </row>
    <row r="75" spans="1:7" x14ac:dyDescent="0.25">
      <c r="A75" t="s">
        <v>265</v>
      </c>
      <c r="B75" t="s">
        <v>266</v>
      </c>
      <c r="C75" t="s">
        <v>267</v>
      </c>
      <c r="D75" t="s">
        <v>22</v>
      </c>
      <c r="E75" t="str">
        <f>"NL00740025007"</f>
        <v>NL00740025007</v>
      </c>
      <c r="F75" s="1">
        <v>43665</v>
      </c>
      <c r="G75" s="1">
        <v>45491</v>
      </c>
    </row>
    <row r="76" spans="1:7" x14ac:dyDescent="0.25">
      <c r="A76" t="s">
        <v>268</v>
      </c>
      <c r="B76" t="s">
        <v>269</v>
      </c>
      <c r="C76" t="s">
        <v>267</v>
      </c>
      <c r="D76" t="s">
        <v>22</v>
      </c>
      <c r="E76" t="str">
        <f>"NL00740016219"</f>
        <v>NL00740016219</v>
      </c>
      <c r="F76" s="1">
        <v>43046</v>
      </c>
      <c r="G76" s="1">
        <v>44872</v>
      </c>
    </row>
    <row r="77" spans="1:7" x14ac:dyDescent="0.25">
      <c r="A77" t="s">
        <v>270</v>
      </c>
      <c r="B77" t="s">
        <v>271</v>
      </c>
      <c r="C77" t="s">
        <v>8</v>
      </c>
      <c r="D77" t="s">
        <v>43</v>
      </c>
      <c r="E77" t="str">
        <f>"NL00740018795"</f>
        <v>NL00740018795</v>
      </c>
      <c r="F77" s="1">
        <v>43363</v>
      </c>
    </row>
    <row r="78" spans="1:7" x14ac:dyDescent="0.25">
      <c r="A78" t="s">
        <v>272</v>
      </c>
      <c r="B78" t="s">
        <v>273</v>
      </c>
      <c r="C78" t="s">
        <v>274</v>
      </c>
      <c r="D78" t="s">
        <v>275</v>
      </c>
      <c r="E78" t="str">
        <f>"NL00740025294"</f>
        <v>NL00740025294</v>
      </c>
      <c r="F78" s="1">
        <v>43705</v>
      </c>
      <c r="G78" s="1">
        <v>45532</v>
      </c>
    </row>
    <row r="79" spans="1:7" x14ac:dyDescent="0.25">
      <c r="A79" t="s">
        <v>276</v>
      </c>
      <c r="B79" t="s">
        <v>277</v>
      </c>
      <c r="C79" t="s">
        <v>278</v>
      </c>
      <c r="D79" t="s">
        <v>148</v>
      </c>
      <c r="E79" t="str">
        <f>"NL00740024184"</f>
        <v>NL00740024184</v>
      </c>
      <c r="F79" s="1">
        <v>43559</v>
      </c>
      <c r="G79" s="1">
        <v>45386</v>
      </c>
    </row>
    <row r="80" spans="1:7" x14ac:dyDescent="0.25">
      <c r="A80" t="s">
        <v>279</v>
      </c>
      <c r="C80" t="s">
        <v>280</v>
      </c>
      <c r="D80" t="s">
        <v>88</v>
      </c>
      <c r="E80" t="str">
        <f>"NL00740005171"</f>
        <v>NL00740005171</v>
      </c>
      <c r="F80" s="1">
        <v>41244</v>
      </c>
      <c r="G80" s="1">
        <v>44804</v>
      </c>
    </row>
    <row r="81" spans="1:7" x14ac:dyDescent="0.25">
      <c r="A81" t="s">
        <v>281</v>
      </c>
      <c r="B81" t="s">
        <v>282</v>
      </c>
      <c r="C81" t="s">
        <v>283</v>
      </c>
      <c r="D81" t="s">
        <v>284</v>
      </c>
      <c r="E81" t="str">
        <f>"NL00740014026"</f>
        <v>NL00740014026</v>
      </c>
      <c r="F81" s="1">
        <v>42712</v>
      </c>
      <c r="G81" s="1">
        <v>44537</v>
      </c>
    </row>
    <row r="82" spans="1:7" x14ac:dyDescent="0.25">
      <c r="A82" t="s">
        <v>285</v>
      </c>
      <c r="B82" t="s">
        <v>286</v>
      </c>
      <c r="C82" t="s">
        <v>287</v>
      </c>
      <c r="D82" t="s">
        <v>31</v>
      </c>
      <c r="E82" t="str">
        <f>"NL00740010093"</f>
        <v>NL00740010093</v>
      </c>
      <c r="F82" s="1">
        <v>42352</v>
      </c>
      <c r="G82" s="1">
        <v>44179</v>
      </c>
    </row>
    <row r="83" spans="1:7" x14ac:dyDescent="0.25">
      <c r="A83" t="s">
        <v>288</v>
      </c>
      <c r="B83" t="s">
        <v>289</v>
      </c>
      <c r="C83" t="s">
        <v>290</v>
      </c>
      <c r="D83" t="s">
        <v>10</v>
      </c>
      <c r="E83" t="str">
        <f>"NL00740017149"</f>
        <v>NL00740017149</v>
      </c>
      <c r="F83" s="1">
        <v>43174</v>
      </c>
      <c r="G83" s="1">
        <v>45000</v>
      </c>
    </row>
    <row r="84" spans="1:7" x14ac:dyDescent="0.25">
      <c r="A84" t="s">
        <v>291</v>
      </c>
      <c r="B84" t="s">
        <v>292</v>
      </c>
      <c r="C84" t="s">
        <v>293</v>
      </c>
      <c r="D84" t="s">
        <v>294</v>
      </c>
      <c r="E84" t="str">
        <f>"NL00740008594"</f>
        <v>NL00740008594</v>
      </c>
      <c r="F84" s="1">
        <v>42104</v>
      </c>
      <c r="G84" s="1">
        <v>45715</v>
      </c>
    </row>
    <row r="85" spans="1:7" x14ac:dyDescent="0.25">
      <c r="A85" t="s">
        <v>295</v>
      </c>
      <c r="B85" t="s">
        <v>296</v>
      </c>
      <c r="C85" t="s">
        <v>297</v>
      </c>
      <c r="D85" t="s">
        <v>88</v>
      </c>
      <c r="E85" t="str">
        <f>"NL00740025300"</f>
        <v>NL00740025300</v>
      </c>
      <c r="F85" s="1">
        <v>43706</v>
      </c>
      <c r="G85" s="1">
        <v>45533</v>
      </c>
    </row>
    <row r="86" spans="1:7" x14ac:dyDescent="0.25">
      <c r="A86" t="s">
        <v>298</v>
      </c>
      <c r="B86" t="s">
        <v>299</v>
      </c>
      <c r="C86" t="s">
        <v>300</v>
      </c>
      <c r="D86" t="s">
        <v>10</v>
      </c>
      <c r="E86" t="str">
        <f>"NL00740012611"</f>
        <v>NL00740012611</v>
      </c>
      <c r="F86" s="1">
        <v>42489</v>
      </c>
      <c r="G86" s="1">
        <v>44315</v>
      </c>
    </row>
    <row r="87" spans="1:7" x14ac:dyDescent="0.25">
      <c r="A87" t="s">
        <v>301</v>
      </c>
      <c r="B87" t="s">
        <v>302</v>
      </c>
      <c r="C87" t="s">
        <v>303</v>
      </c>
      <c r="D87" t="s">
        <v>167</v>
      </c>
      <c r="E87" t="str">
        <f>"NL00740004365"</f>
        <v>NL00740004365</v>
      </c>
      <c r="F87" s="1">
        <v>41136</v>
      </c>
      <c r="G87" s="1">
        <v>44711</v>
      </c>
    </row>
    <row r="88" spans="1:7" x14ac:dyDescent="0.25">
      <c r="A88" t="s">
        <v>304</v>
      </c>
      <c r="B88" t="s">
        <v>305</v>
      </c>
      <c r="C88" t="s">
        <v>306</v>
      </c>
      <c r="D88" t="s">
        <v>39</v>
      </c>
      <c r="E88" t="str">
        <f>"NL00740002311"</f>
        <v>NL00740002311</v>
      </c>
      <c r="F88" s="1">
        <v>40940</v>
      </c>
      <c r="G88" s="1">
        <v>44529</v>
      </c>
    </row>
    <row r="89" spans="1:7" x14ac:dyDescent="0.25">
      <c r="A89" t="s">
        <v>307</v>
      </c>
      <c r="B89" t="s">
        <v>308</v>
      </c>
      <c r="C89" t="s">
        <v>309</v>
      </c>
      <c r="D89" t="s">
        <v>88</v>
      </c>
      <c r="E89" t="str">
        <f>"NL00740024443"</f>
        <v>NL00740024443</v>
      </c>
      <c r="F89" s="1">
        <v>43579</v>
      </c>
      <c r="G89" s="1">
        <v>45406</v>
      </c>
    </row>
    <row r="90" spans="1:7" x14ac:dyDescent="0.25">
      <c r="A90" t="s">
        <v>310</v>
      </c>
      <c r="B90" t="s">
        <v>311</v>
      </c>
      <c r="C90" t="s">
        <v>312</v>
      </c>
      <c r="D90" t="s">
        <v>88</v>
      </c>
      <c r="E90" t="str">
        <f>"NL00740019099"</f>
        <v>NL00740019099</v>
      </c>
      <c r="F90" s="1">
        <v>43389</v>
      </c>
      <c r="G90" s="1">
        <v>45215</v>
      </c>
    </row>
    <row r="91" spans="1:7" x14ac:dyDescent="0.25">
      <c r="A91" t="s">
        <v>313</v>
      </c>
      <c r="B91" t="s">
        <v>314</v>
      </c>
      <c r="C91" t="s">
        <v>315</v>
      </c>
      <c r="D91" t="s">
        <v>316</v>
      </c>
      <c r="E91" t="str">
        <f>"NL00740009333"</f>
        <v>NL00740009333</v>
      </c>
      <c r="F91" s="1">
        <v>42221</v>
      </c>
      <c r="G91" s="1">
        <v>45804</v>
      </c>
    </row>
    <row r="92" spans="1:7" x14ac:dyDescent="0.25">
      <c r="A92" t="s">
        <v>317</v>
      </c>
      <c r="B92" t="s">
        <v>318</v>
      </c>
      <c r="C92" t="s">
        <v>319</v>
      </c>
      <c r="D92" t="s">
        <v>320</v>
      </c>
      <c r="E92" t="str">
        <f>"NL00740004914"</f>
        <v>NL00740004914</v>
      </c>
      <c r="F92" s="1">
        <v>41214</v>
      </c>
      <c r="G92" s="1">
        <v>44817</v>
      </c>
    </row>
    <row r="93" spans="1:7" x14ac:dyDescent="0.25">
      <c r="A93" t="s">
        <v>321</v>
      </c>
      <c r="B93" t="s">
        <v>322</v>
      </c>
      <c r="C93" t="s">
        <v>323</v>
      </c>
      <c r="D93" t="s">
        <v>324</v>
      </c>
      <c r="E93" t="str">
        <f>"NL00740014574"</f>
        <v>NL00740014574</v>
      </c>
      <c r="F93" s="1">
        <v>42782</v>
      </c>
      <c r="G93" s="1">
        <v>44608</v>
      </c>
    </row>
    <row r="94" spans="1:7" x14ac:dyDescent="0.25">
      <c r="A94" t="s">
        <v>325</v>
      </c>
      <c r="B94" t="s">
        <v>326</v>
      </c>
      <c r="C94" t="s">
        <v>327</v>
      </c>
      <c r="D94" t="s">
        <v>126</v>
      </c>
      <c r="E94" t="str">
        <f>"NL00740007500"</f>
        <v>NL00740007500</v>
      </c>
      <c r="F94" s="1">
        <v>41935</v>
      </c>
      <c r="G94" s="1">
        <v>45540</v>
      </c>
    </row>
    <row r="95" spans="1:7" x14ac:dyDescent="0.25">
      <c r="A95" t="s">
        <v>328</v>
      </c>
      <c r="B95" t="s">
        <v>329</v>
      </c>
      <c r="C95" t="s">
        <v>330</v>
      </c>
      <c r="D95" t="s">
        <v>331</v>
      </c>
      <c r="E95" t="str">
        <f>"NL00740001649"</f>
        <v>NL00740001649</v>
      </c>
      <c r="F95" s="1">
        <v>40862</v>
      </c>
      <c r="G95" s="1">
        <v>44419</v>
      </c>
    </row>
    <row r="96" spans="1:7" x14ac:dyDescent="0.25">
      <c r="A96" t="s">
        <v>333</v>
      </c>
      <c r="B96" t="s">
        <v>334</v>
      </c>
      <c r="C96" t="s">
        <v>335</v>
      </c>
      <c r="D96" t="s">
        <v>336</v>
      </c>
      <c r="E96" t="str">
        <f>"NL00740017914"</f>
        <v>NL00740017914</v>
      </c>
      <c r="F96" s="1">
        <v>43262</v>
      </c>
      <c r="G96" s="1">
        <v>45083</v>
      </c>
    </row>
    <row r="97" spans="1:7" x14ac:dyDescent="0.25">
      <c r="A97" t="s">
        <v>337</v>
      </c>
      <c r="B97" t="s">
        <v>338</v>
      </c>
      <c r="C97" t="s">
        <v>339</v>
      </c>
      <c r="D97" t="s">
        <v>340</v>
      </c>
      <c r="E97" t="str">
        <f>"NL00740325258"</f>
        <v>NL00740325258</v>
      </c>
      <c r="F97" s="1">
        <v>41740</v>
      </c>
      <c r="G97" s="1">
        <v>45342</v>
      </c>
    </row>
    <row r="98" spans="1:7" x14ac:dyDescent="0.25">
      <c r="A98" t="s">
        <v>341</v>
      </c>
      <c r="B98" t="s">
        <v>342</v>
      </c>
      <c r="C98" t="s">
        <v>343</v>
      </c>
      <c r="D98" t="s">
        <v>344</v>
      </c>
      <c r="E98" t="str">
        <f>"NL00740009706"</f>
        <v>NL00740009706</v>
      </c>
      <c r="F98" s="1">
        <v>42291</v>
      </c>
      <c r="G98" s="1">
        <v>44118</v>
      </c>
    </row>
    <row r="99" spans="1:7" x14ac:dyDescent="0.25">
      <c r="A99" t="s">
        <v>345</v>
      </c>
      <c r="B99" t="s">
        <v>346</v>
      </c>
      <c r="C99" t="s">
        <v>347</v>
      </c>
      <c r="D99" t="s">
        <v>126</v>
      </c>
      <c r="E99" t="str">
        <f>"NL00740316876"</f>
        <v>NL00740316876</v>
      </c>
      <c r="F99" s="1">
        <v>41470</v>
      </c>
      <c r="G99" s="1">
        <v>45090</v>
      </c>
    </row>
    <row r="100" spans="1:7" x14ac:dyDescent="0.25">
      <c r="A100" t="s">
        <v>349</v>
      </c>
      <c r="B100" t="s">
        <v>350</v>
      </c>
      <c r="C100" t="s">
        <v>351</v>
      </c>
      <c r="D100" t="s">
        <v>48</v>
      </c>
      <c r="E100" t="str">
        <f>"NL00740019506"</f>
        <v>NL00740019506</v>
      </c>
      <c r="F100" s="1">
        <v>43403</v>
      </c>
      <c r="G100" s="1">
        <v>45229</v>
      </c>
    </row>
    <row r="101" spans="1:7" x14ac:dyDescent="0.25">
      <c r="A101" t="s">
        <v>352</v>
      </c>
      <c r="B101" t="s">
        <v>353</v>
      </c>
      <c r="C101" t="s">
        <v>354</v>
      </c>
      <c r="D101" t="s">
        <v>355</v>
      </c>
      <c r="E101" t="str">
        <f>"NL00740023124"</f>
        <v>NL00740023124</v>
      </c>
      <c r="F101" s="1">
        <v>43510</v>
      </c>
    </row>
    <row r="102" spans="1:7" x14ac:dyDescent="0.25">
      <c r="A102" t="s">
        <v>356</v>
      </c>
      <c r="B102" t="s">
        <v>357</v>
      </c>
      <c r="C102" t="s">
        <v>358</v>
      </c>
      <c r="D102" t="s">
        <v>59</v>
      </c>
      <c r="E102" t="str">
        <f>"NL00740012523"</f>
        <v>NL00740012523</v>
      </c>
      <c r="F102" s="1">
        <v>42478</v>
      </c>
      <c r="G102" s="1">
        <v>44304</v>
      </c>
    </row>
    <row r="103" spans="1:7" x14ac:dyDescent="0.25">
      <c r="A103" t="s">
        <v>359</v>
      </c>
      <c r="B103" t="s">
        <v>360</v>
      </c>
      <c r="C103" t="s">
        <v>361</v>
      </c>
      <c r="D103" t="s">
        <v>362</v>
      </c>
      <c r="E103" t="str">
        <f>"NL00740320652"</f>
        <v>NL00740320652</v>
      </c>
      <c r="F103" s="1">
        <v>41673</v>
      </c>
      <c r="G103" s="1">
        <v>45244</v>
      </c>
    </row>
    <row r="104" spans="1:7" x14ac:dyDescent="0.25">
      <c r="A104" t="s">
        <v>363</v>
      </c>
      <c r="B104" t="s">
        <v>364</v>
      </c>
      <c r="C104" t="s">
        <v>365</v>
      </c>
      <c r="D104" t="s">
        <v>366</v>
      </c>
      <c r="E104" t="str">
        <f>"NL00740013469"</f>
        <v>NL00740013469</v>
      </c>
      <c r="F104" s="1">
        <v>42654</v>
      </c>
    </row>
    <row r="105" spans="1:7" x14ac:dyDescent="0.25">
      <c r="A105" t="s">
        <v>367</v>
      </c>
      <c r="B105" t="s">
        <v>368</v>
      </c>
      <c r="C105" t="s">
        <v>369</v>
      </c>
      <c r="D105" t="s">
        <v>370</v>
      </c>
      <c r="E105" t="str">
        <f>"NL00740008539"</f>
        <v>NL00740008539</v>
      </c>
      <c r="F105" s="1">
        <v>42096</v>
      </c>
      <c r="G105" s="1">
        <v>45708</v>
      </c>
    </row>
    <row r="106" spans="1:7" x14ac:dyDescent="0.25">
      <c r="A106" t="s">
        <v>371</v>
      </c>
      <c r="B106" t="s">
        <v>372</v>
      </c>
      <c r="C106" t="s">
        <v>373</v>
      </c>
      <c r="D106" t="s">
        <v>374</v>
      </c>
      <c r="E106" t="str">
        <f>"NL00740015503"</f>
        <v>NL00740015503</v>
      </c>
      <c r="F106" s="1">
        <v>42929</v>
      </c>
      <c r="G106" s="1">
        <v>44755</v>
      </c>
    </row>
    <row r="107" spans="1:7" x14ac:dyDescent="0.25">
      <c r="A107" t="s">
        <v>375</v>
      </c>
      <c r="B107" t="s">
        <v>376</v>
      </c>
      <c r="C107" t="s">
        <v>377</v>
      </c>
      <c r="D107" t="s">
        <v>52</v>
      </c>
      <c r="E107" t="str">
        <f>"NL00470008046"</f>
        <v>NL00470008046</v>
      </c>
      <c r="F107" s="1">
        <v>42075</v>
      </c>
      <c r="G107" s="1">
        <v>45594</v>
      </c>
    </row>
    <row r="108" spans="1:7" x14ac:dyDescent="0.25">
      <c r="A108" t="s">
        <v>378</v>
      </c>
      <c r="B108" t="s">
        <v>379</v>
      </c>
      <c r="C108" t="s">
        <v>380</v>
      </c>
      <c r="D108" t="s">
        <v>148</v>
      </c>
      <c r="E108" t="str">
        <f>"NL00740021709"</f>
        <v>NL00740021709</v>
      </c>
      <c r="F108" s="1">
        <v>43474</v>
      </c>
      <c r="G108" s="1">
        <v>45300</v>
      </c>
    </row>
    <row r="109" spans="1:7" x14ac:dyDescent="0.25">
      <c r="A109" t="s">
        <v>381</v>
      </c>
      <c r="B109" t="s">
        <v>382</v>
      </c>
      <c r="C109" t="s">
        <v>383</v>
      </c>
      <c r="D109" t="s">
        <v>384</v>
      </c>
      <c r="E109" t="str">
        <f>"NL00740013200"</f>
        <v>NL00740013200</v>
      </c>
      <c r="F109" s="1">
        <v>42584</v>
      </c>
      <c r="G109" s="1">
        <v>44410</v>
      </c>
    </row>
    <row r="110" spans="1:7" x14ac:dyDescent="0.25">
      <c r="A110" t="s">
        <v>385</v>
      </c>
      <c r="B110" t="s">
        <v>386</v>
      </c>
      <c r="C110" t="s">
        <v>387</v>
      </c>
      <c r="D110" t="s">
        <v>30</v>
      </c>
      <c r="E110" t="str">
        <f>"NL00740003746"</f>
        <v>NL00740003746</v>
      </c>
      <c r="F110" s="1">
        <v>41061</v>
      </c>
      <c r="G110" s="1">
        <v>44689</v>
      </c>
    </row>
    <row r="111" spans="1:7" x14ac:dyDescent="0.25">
      <c r="A111" t="s">
        <v>388</v>
      </c>
      <c r="C111" t="s">
        <v>389</v>
      </c>
      <c r="D111" t="s">
        <v>43</v>
      </c>
      <c r="E111" t="str">
        <f>"NL00740001475"</f>
        <v>NL00740001475</v>
      </c>
      <c r="F111" s="1">
        <v>40817</v>
      </c>
      <c r="G111" s="1">
        <v>44353</v>
      </c>
    </row>
    <row r="112" spans="1:7" x14ac:dyDescent="0.25">
      <c r="A112" t="s">
        <v>390</v>
      </c>
      <c r="B112" t="s">
        <v>391</v>
      </c>
      <c r="C112" t="s">
        <v>392</v>
      </c>
      <c r="D112" t="s">
        <v>43</v>
      </c>
      <c r="E112" t="str">
        <f>"NL00740015828"</f>
        <v>NL00740015828</v>
      </c>
      <c r="F112" s="1">
        <v>42985</v>
      </c>
      <c r="G112" s="1">
        <v>44811</v>
      </c>
    </row>
    <row r="113" spans="1:7" x14ac:dyDescent="0.25">
      <c r="A113" t="s">
        <v>393</v>
      </c>
      <c r="B113" t="s">
        <v>394</v>
      </c>
      <c r="C113" t="s">
        <v>395</v>
      </c>
      <c r="D113" t="s">
        <v>88</v>
      </c>
      <c r="E113" t="str">
        <f>"NL00740021048"</f>
        <v>NL00740021048</v>
      </c>
      <c r="F113" s="1">
        <v>43445</v>
      </c>
      <c r="G113" s="1">
        <v>45271</v>
      </c>
    </row>
    <row r="114" spans="1:7" x14ac:dyDescent="0.25">
      <c r="A114" t="s">
        <v>396</v>
      </c>
      <c r="B114" t="s">
        <v>397</v>
      </c>
      <c r="C114" t="s">
        <v>398</v>
      </c>
      <c r="D114" t="s">
        <v>348</v>
      </c>
      <c r="E114" t="str">
        <f>"NL00740013475"</f>
        <v>NL00740013475</v>
      </c>
      <c r="F114" s="1">
        <v>42668</v>
      </c>
    </row>
    <row r="115" spans="1:7" x14ac:dyDescent="0.25">
      <c r="A115" t="s">
        <v>399</v>
      </c>
      <c r="B115" t="s">
        <v>400</v>
      </c>
      <c r="C115" t="s">
        <v>401</v>
      </c>
      <c r="D115" t="s">
        <v>402</v>
      </c>
      <c r="E115" t="str">
        <f>"NL00740013137"</f>
        <v>NL00740013137</v>
      </c>
      <c r="F115" s="1">
        <v>42578</v>
      </c>
      <c r="G115" s="1">
        <v>44399</v>
      </c>
    </row>
    <row r="116" spans="1:7" x14ac:dyDescent="0.25">
      <c r="A116" t="s">
        <v>403</v>
      </c>
      <c r="B116" t="s">
        <v>404</v>
      </c>
      <c r="C116" t="s">
        <v>405</v>
      </c>
      <c r="D116" t="s">
        <v>66</v>
      </c>
      <c r="E116" t="str">
        <f>"NL00740323151"</f>
        <v>NL00740323151</v>
      </c>
      <c r="F116" s="1">
        <v>41704</v>
      </c>
      <c r="G116" s="1">
        <v>45238</v>
      </c>
    </row>
    <row r="117" spans="1:7" x14ac:dyDescent="0.25">
      <c r="A117" t="s">
        <v>406</v>
      </c>
      <c r="B117" t="s">
        <v>407</v>
      </c>
      <c r="C117" t="s">
        <v>408</v>
      </c>
      <c r="D117" t="s">
        <v>221</v>
      </c>
      <c r="E117" t="str">
        <f>"NL00740317158"</f>
        <v>NL00740317158</v>
      </c>
      <c r="F117" s="1">
        <v>41527</v>
      </c>
      <c r="G117" s="1">
        <v>45088</v>
      </c>
    </row>
    <row r="118" spans="1:7" x14ac:dyDescent="0.25">
      <c r="A118" t="s">
        <v>409</v>
      </c>
      <c r="B118" t="s">
        <v>410</v>
      </c>
      <c r="C118" t="s">
        <v>411</v>
      </c>
      <c r="D118" t="s">
        <v>148</v>
      </c>
      <c r="E118" t="str">
        <f>"NL00740002543"</f>
        <v>NL00740002543</v>
      </c>
      <c r="F118" s="1">
        <v>40969</v>
      </c>
      <c r="G118" s="1">
        <v>44587</v>
      </c>
    </row>
    <row r="119" spans="1:7" x14ac:dyDescent="0.25">
      <c r="A119" t="s">
        <v>412</v>
      </c>
      <c r="B119" t="s">
        <v>64</v>
      </c>
      <c r="C119" t="s">
        <v>65</v>
      </c>
      <c r="D119" t="s">
        <v>66</v>
      </c>
      <c r="E119" t="str">
        <f>"NL00740026961"</f>
        <v>NL00740026961</v>
      </c>
      <c r="F119" s="1">
        <v>43938</v>
      </c>
      <c r="G119" s="1">
        <v>45763</v>
      </c>
    </row>
    <row r="120" spans="1:7" x14ac:dyDescent="0.25">
      <c r="A120" t="s">
        <v>413</v>
      </c>
      <c r="B120" t="s">
        <v>414</v>
      </c>
      <c r="C120" t="s">
        <v>415</v>
      </c>
      <c r="D120" t="s">
        <v>331</v>
      </c>
      <c r="E120" t="str">
        <f>"NL00740010077"</f>
        <v>NL00740010077</v>
      </c>
      <c r="F120" s="1">
        <v>42352</v>
      </c>
      <c r="G120" s="1">
        <v>44179</v>
      </c>
    </row>
    <row r="121" spans="1:7" x14ac:dyDescent="0.25">
      <c r="A121" t="s">
        <v>416</v>
      </c>
      <c r="B121" t="s">
        <v>417</v>
      </c>
      <c r="C121" t="s">
        <v>418</v>
      </c>
      <c r="D121" t="s">
        <v>419</v>
      </c>
      <c r="E121" t="str">
        <f>"NL00740007499"</f>
        <v>NL00740007499</v>
      </c>
      <c r="F121" s="1">
        <v>41935</v>
      </c>
    </row>
    <row r="122" spans="1:7" x14ac:dyDescent="0.25">
      <c r="A122" t="s">
        <v>420</v>
      </c>
      <c r="B122" t="s">
        <v>421</v>
      </c>
      <c r="C122" t="s">
        <v>422</v>
      </c>
      <c r="D122" t="s">
        <v>39</v>
      </c>
      <c r="E122" t="str">
        <f>"NL00740008393"</f>
        <v>NL00740008393</v>
      </c>
      <c r="F122" s="1">
        <v>42074</v>
      </c>
      <c r="G122" s="1">
        <v>45581</v>
      </c>
    </row>
    <row r="123" spans="1:7" x14ac:dyDescent="0.25">
      <c r="A123" t="s">
        <v>423</v>
      </c>
      <c r="B123" t="s">
        <v>424</v>
      </c>
      <c r="C123" t="s">
        <v>425</v>
      </c>
      <c r="D123" t="s">
        <v>426</v>
      </c>
      <c r="E123" t="str">
        <f>"NL00740027588"</f>
        <v>NL00740027588</v>
      </c>
      <c r="F123" s="1">
        <v>44082</v>
      </c>
      <c r="G123" s="1">
        <v>45908</v>
      </c>
    </row>
    <row r="124" spans="1:7" x14ac:dyDescent="0.25">
      <c r="A124" t="s">
        <v>427</v>
      </c>
      <c r="B124" t="s">
        <v>428</v>
      </c>
      <c r="C124" t="s">
        <v>429</v>
      </c>
      <c r="D124" t="s">
        <v>59</v>
      </c>
      <c r="E124" t="str">
        <f>"NL00740024827"</f>
        <v>NL00740024827</v>
      </c>
      <c r="F124" s="1">
        <v>43640</v>
      </c>
      <c r="G124" s="1">
        <v>45463</v>
      </c>
    </row>
    <row r="125" spans="1:7" x14ac:dyDescent="0.25">
      <c r="A125" t="s">
        <v>430</v>
      </c>
      <c r="B125" t="s">
        <v>431</v>
      </c>
      <c r="C125" t="s">
        <v>432</v>
      </c>
      <c r="D125" t="s">
        <v>52</v>
      </c>
      <c r="E125" t="str">
        <f>"NL00740017167"</f>
        <v>NL00740017167</v>
      </c>
      <c r="F125" s="1">
        <v>43175</v>
      </c>
      <c r="G125" s="1">
        <v>45001</v>
      </c>
    </row>
    <row r="126" spans="1:7" x14ac:dyDescent="0.25">
      <c r="A126" t="s">
        <v>433</v>
      </c>
      <c r="B126" t="s">
        <v>434</v>
      </c>
      <c r="C126" t="s">
        <v>435</v>
      </c>
      <c r="D126" t="s">
        <v>48</v>
      </c>
      <c r="E126" t="str">
        <f>"NL00740010438"</f>
        <v>NL00740010438</v>
      </c>
      <c r="F126" s="1">
        <v>42410</v>
      </c>
      <c r="G126" s="1">
        <v>44237</v>
      </c>
    </row>
    <row r="127" spans="1:7" x14ac:dyDescent="0.25">
      <c r="A127" t="s">
        <v>436</v>
      </c>
      <c r="B127" t="s">
        <v>437</v>
      </c>
      <c r="C127" t="s">
        <v>42</v>
      </c>
      <c r="D127" t="s">
        <v>43</v>
      </c>
      <c r="E127" t="str">
        <f>"NL00740024530"</f>
        <v>NL00740024530</v>
      </c>
      <c r="F127" s="1">
        <v>43593</v>
      </c>
      <c r="G127" s="1">
        <v>45420</v>
      </c>
    </row>
    <row r="128" spans="1:7" x14ac:dyDescent="0.25">
      <c r="A128" t="s">
        <v>438</v>
      </c>
      <c r="B128" t="s">
        <v>439</v>
      </c>
      <c r="C128" t="s">
        <v>440</v>
      </c>
      <c r="D128" t="s">
        <v>441</v>
      </c>
      <c r="E128" t="str">
        <f>"NL00740024168"</f>
        <v>NL00740024168</v>
      </c>
      <c r="F128" s="1">
        <v>43558</v>
      </c>
      <c r="G128" s="1">
        <v>45385</v>
      </c>
    </row>
    <row r="129" spans="1:7" x14ac:dyDescent="0.25">
      <c r="A129" t="s">
        <v>442</v>
      </c>
      <c r="B129" t="s">
        <v>443</v>
      </c>
      <c r="C129" t="s">
        <v>444</v>
      </c>
      <c r="D129" t="s">
        <v>445</v>
      </c>
      <c r="E129" t="str">
        <f>"NL00740018170"</f>
        <v>NL00740018170</v>
      </c>
      <c r="F129" s="1">
        <v>43286</v>
      </c>
      <c r="G129" s="1">
        <v>45112</v>
      </c>
    </row>
    <row r="130" spans="1:7" x14ac:dyDescent="0.25">
      <c r="A130" t="s">
        <v>446</v>
      </c>
      <c r="B130" t="s">
        <v>447</v>
      </c>
      <c r="C130" t="s">
        <v>448</v>
      </c>
      <c r="D130" t="s">
        <v>449</v>
      </c>
      <c r="E130" t="str">
        <f>"NL00740014362"</f>
        <v>NL00740014362</v>
      </c>
      <c r="F130" s="1">
        <v>42758</v>
      </c>
      <c r="G130" s="1">
        <v>44584</v>
      </c>
    </row>
    <row r="131" spans="1:7" x14ac:dyDescent="0.25">
      <c r="A131" t="s">
        <v>450</v>
      </c>
      <c r="B131" t="s">
        <v>451</v>
      </c>
      <c r="C131" t="s">
        <v>452</v>
      </c>
      <c r="D131" t="s">
        <v>453</v>
      </c>
      <c r="E131" t="str">
        <f>"NL00740002117"</f>
        <v>NL00740002117</v>
      </c>
      <c r="F131" s="1">
        <v>40909</v>
      </c>
      <c r="G131" s="1">
        <v>44516</v>
      </c>
    </row>
    <row r="132" spans="1:7" x14ac:dyDescent="0.25">
      <c r="A132" t="s">
        <v>454</v>
      </c>
      <c r="B132" t="s">
        <v>455</v>
      </c>
      <c r="C132" t="s">
        <v>456</v>
      </c>
      <c r="D132" t="s">
        <v>457</v>
      </c>
      <c r="E132" t="str">
        <f>"NL00740001759"</f>
        <v>NL00740001759</v>
      </c>
      <c r="F132" s="1">
        <v>40862</v>
      </c>
      <c r="G132" s="1">
        <v>44398</v>
      </c>
    </row>
    <row r="133" spans="1:7" x14ac:dyDescent="0.25">
      <c r="A133" t="s">
        <v>458</v>
      </c>
      <c r="B133" t="s">
        <v>459</v>
      </c>
      <c r="C133" t="s">
        <v>460</v>
      </c>
      <c r="D133" t="s">
        <v>39</v>
      </c>
      <c r="E133" t="str">
        <f>"NL00740025296"</f>
        <v>NL00740025296</v>
      </c>
      <c r="F133" s="1">
        <v>43705</v>
      </c>
      <c r="G133" s="1">
        <v>45532</v>
      </c>
    </row>
    <row r="134" spans="1:7" x14ac:dyDescent="0.25">
      <c r="A134" t="s">
        <v>461</v>
      </c>
      <c r="B134" t="s">
        <v>462</v>
      </c>
      <c r="C134" t="s">
        <v>463</v>
      </c>
      <c r="D134" t="s">
        <v>66</v>
      </c>
      <c r="E134" t="str">
        <f>"NL00740004254"</f>
        <v>NL00740004254</v>
      </c>
      <c r="F134" s="1">
        <v>41122</v>
      </c>
      <c r="G134" s="1">
        <v>44734</v>
      </c>
    </row>
    <row r="135" spans="1:7" x14ac:dyDescent="0.25">
      <c r="A135" t="s">
        <v>464</v>
      </c>
      <c r="B135" t="s">
        <v>465</v>
      </c>
      <c r="C135" t="s">
        <v>466</v>
      </c>
      <c r="D135" t="s">
        <v>467</v>
      </c>
      <c r="E135" t="str">
        <f>"NL00740019819"</f>
        <v>NL00740019819</v>
      </c>
      <c r="F135" s="1">
        <v>43412</v>
      </c>
      <c r="G135" s="1">
        <v>45238</v>
      </c>
    </row>
    <row r="136" spans="1:7" x14ac:dyDescent="0.25">
      <c r="A136" t="s">
        <v>468</v>
      </c>
      <c r="B136" t="s">
        <v>469</v>
      </c>
      <c r="C136" t="s">
        <v>470</v>
      </c>
      <c r="D136" t="s">
        <v>471</v>
      </c>
      <c r="E136" t="str">
        <f>"NL00740026337"</f>
        <v>NL00740026337</v>
      </c>
      <c r="F136" s="1">
        <v>43851</v>
      </c>
      <c r="G136" s="1">
        <v>45678</v>
      </c>
    </row>
    <row r="137" spans="1:7" x14ac:dyDescent="0.25">
      <c r="A137" t="s">
        <v>472</v>
      </c>
      <c r="B137" t="s">
        <v>473</v>
      </c>
      <c r="C137" t="s">
        <v>474</v>
      </c>
      <c r="D137" t="s">
        <v>449</v>
      </c>
      <c r="E137" t="str">
        <f>"NL00740013231"</f>
        <v>NL00740013231</v>
      </c>
      <c r="F137" s="1">
        <v>42584</v>
      </c>
      <c r="G137" s="1">
        <v>44410</v>
      </c>
    </row>
    <row r="138" spans="1:7" x14ac:dyDescent="0.25">
      <c r="A138" t="s">
        <v>475</v>
      </c>
      <c r="B138" t="s">
        <v>476</v>
      </c>
      <c r="C138" t="s">
        <v>477</v>
      </c>
      <c r="D138" t="s">
        <v>478</v>
      </c>
      <c r="E138" t="str">
        <f>"NL00740026850"</f>
        <v>NL00740026850</v>
      </c>
      <c r="F138" s="1">
        <v>43917</v>
      </c>
      <c r="G138" s="1">
        <v>45743</v>
      </c>
    </row>
    <row r="139" spans="1:7" x14ac:dyDescent="0.25">
      <c r="A139" t="s">
        <v>479</v>
      </c>
      <c r="B139" t="s">
        <v>480</v>
      </c>
      <c r="C139" t="s">
        <v>481</v>
      </c>
      <c r="D139" t="s">
        <v>482</v>
      </c>
      <c r="E139" t="str">
        <f>"NL00740025530"</f>
        <v>NL00740025530</v>
      </c>
      <c r="F139" s="1">
        <v>43748</v>
      </c>
      <c r="G139" s="1">
        <v>45575</v>
      </c>
    </row>
    <row r="140" spans="1:7" x14ac:dyDescent="0.25">
      <c r="A140" t="s">
        <v>483</v>
      </c>
      <c r="B140" t="s">
        <v>484</v>
      </c>
      <c r="C140" t="s">
        <v>485</v>
      </c>
      <c r="D140" t="s">
        <v>43</v>
      </c>
      <c r="E140" t="str">
        <f>"NL00740009883"</f>
        <v>NL00740009883</v>
      </c>
      <c r="F140" s="1">
        <v>42320</v>
      </c>
      <c r="G140" s="1">
        <v>44147</v>
      </c>
    </row>
    <row r="141" spans="1:7" x14ac:dyDescent="0.25">
      <c r="A141" t="s">
        <v>486</v>
      </c>
      <c r="B141" t="s">
        <v>487</v>
      </c>
      <c r="C141" t="s">
        <v>488</v>
      </c>
      <c r="D141" t="s">
        <v>10</v>
      </c>
      <c r="E141" t="str">
        <f>"NL00740020382"</f>
        <v>NL00740020382</v>
      </c>
      <c r="F141" s="1">
        <v>43425</v>
      </c>
      <c r="G141" s="1">
        <v>45251</v>
      </c>
    </row>
    <row r="142" spans="1:7" x14ac:dyDescent="0.25">
      <c r="A142" t="s">
        <v>489</v>
      </c>
      <c r="B142" t="s">
        <v>490</v>
      </c>
      <c r="C142" t="s">
        <v>491</v>
      </c>
      <c r="D142" t="s">
        <v>43</v>
      </c>
      <c r="E142" t="str">
        <f>"NL00740017853"</f>
        <v>NL00740017853</v>
      </c>
      <c r="F142" s="1">
        <v>43251</v>
      </c>
      <c r="G142" s="1">
        <v>45077</v>
      </c>
    </row>
    <row r="143" spans="1:7" x14ac:dyDescent="0.25">
      <c r="A143" t="s">
        <v>492</v>
      </c>
      <c r="C143" t="s">
        <v>493</v>
      </c>
      <c r="D143" t="s">
        <v>62</v>
      </c>
      <c r="E143" t="str">
        <f>"NL00740014766"</f>
        <v>NL00740014766</v>
      </c>
      <c r="F143" s="1">
        <v>42822</v>
      </c>
      <c r="G143" s="1">
        <v>44644</v>
      </c>
    </row>
    <row r="144" spans="1:7" x14ac:dyDescent="0.25">
      <c r="A144" t="s">
        <v>494</v>
      </c>
      <c r="B144" t="s">
        <v>495</v>
      </c>
      <c r="C144" t="s">
        <v>496</v>
      </c>
      <c r="D144" t="s">
        <v>167</v>
      </c>
      <c r="E144" t="str">
        <f>"NL00740014090"</f>
        <v>NL00740014090</v>
      </c>
      <c r="F144" s="1">
        <v>42724</v>
      </c>
      <c r="G144" s="1">
        <v>44545</v>
      </c>
    </row>
    <row r="145" spans="1:7" x14ac:dyDescent="0.25">
      <c r="A145" t="s">
        <v>497</v>
      </c>
      <c r="B145" t="s">
        <v>498</v>
      </c>
      <c r="C145" t="s">
        <v>499</v>
      </c>
      <c r="D145" t="s">
        <v>106</v>
      </c>
      <c r="E145" t="str">
        <f>"NL00740027209"</f>
        <v>NL00740027209</v>
      </c>
      <c r="F145" s="1">
        <v>44005</v>
      </c>
      <c r="G145" s="1">
        <v>45831</v>
      </c>
    </row>
    <row r="146" spans="1:7" x14ac:dyDescent="0.25">
      <c r="A146" t="s">
        <v>500</v>
      </c>
      <c r="B146" t="s">
        <v>501</v>
      </c>
      <c r="C146" t="s">
        <v>502</v>
      </c>
      <c r="D146" t="s">
        <v>260</v>
      </c>
      <c r="E146" t="str">
        <f>"NL00740001690"</f>
        <v>NL00740001690</v>
      </c>
      <c r="F146" s="1">
        <v>40862</v>
      </c>
      <c r="G146" s="1">
        <v>44412</v>
      </c>
    </row>
    <row r="147" spans="1:7" x14ac:dyDescent="0.25">
      <c r="A147" t="s">
        <v>503</v>
      </c>
      <c r="B147" t="s">
        <v>504</v>
      </c>
      <c r="C147" t="s">
        <v>505</v>
      </c>
      <c r="D147" t="s">
        <v>506</v>
      </c>
      <c r="E147" t="str">
        <f>"NL00740009967"</f>
        <v>NL00740009967</v>
      </c>
      <c r="F147" s="1">
        <v>42332</v>
      </c>
      <c r="G147" s="1">
        <v>44159</v>
      </c>
    </row>
    <row r="148" spans="1:7" x14ac:dyDescent="0.25">
      <c r="A148" t="s">
        <v>507</v>
      </c>
      <c r="B148" t="s">
        <v>508</v>
      </c>
      <c r="C148" t="s">
        <v>509</v>
      </c>
      <c r="D148" t="s">
        <v>30</v>
      </c>
      <c r="E148" t="str">
        <f>"NL03800008812"</f>
        <v>NL03800008812</v>
      </c>
      <c r="F148" s="1">
        <v>39708</v>
      </c>
    </row>
    <row r="149" spans="1:7" x14ac:dyDescent="0.25">
      <c r="A149" t="s">
        <v>510</v>
      </c>
      <c r="B149" t="s">
        <v>511</v>
      </c>
      <c r="C149" t="s">
        <v>512</v>
      </c>
      <c r="D149" t="s">
        <v>513</v>
      </c>
      <c r="E149" t="str">
        <f>"NL00740018973"</f>
        <v>NL00740018973</v>
      </c>
      <c r="F149" s="1">
        <v>43377</v>
      </c>
      <c r="G149" s="1">
        <v>45203</v>
      </c>
    </row>
    <row r="150" spans="1:7" x14ac:dyDescent="0.25">
      <c r="A150" t="s">
        <v>514</v>
      </c>
      <c r="B150" t="s">
        <v>515</v>
      </c>
      <c r="C150" t="s">
        <v>516</v>
      </c>
      <c r="D150" t="s">
        <v>30</v>
      </c>
      <c r="E150" t="str">
        <f>"NL00740015191"</f>
        <v>NL00740015191</v>
      </c>
      <c r="F150" s="1">
        <v>42885</v>
      </c>
      <c r="G150" s="1">
        <v>44710</v>
      </c>
    </row>
    <row r="151" spans="1:7" x14ac:dyDescent="0.25">
      <c r="A151" t="s">
        <v>517</v>
      </c>
      <c r="B151" t="s">
        <v>518</v>
      </c>
      <c r="C151" t="s">
        <v>519</v>
      </c>
      <c r="D151" t="s">
        <v>520</v>
      </c>
      <c r="E151" t="str">
        <f>"NL00740015350"</f>
        <v>NL00740015350</v>
      </c>
      <c r="F151" s="1">
        <v>42909</v>
      </c>
      <c r="G151" s="1">
        <v>44734</v>
      </c>
    </row>
    <row r="152" spans="1:7" x14ac:dyDescent="0.25">
      <c r="A152" t="s">
        <v>521</v>
      </c>
      <c r="B152" t="s">
        <v>522</v>
      </c>
      <c r="C152" t="s">
        <v>523</v>
      </c>
      <c r="D152" t="s">
        <v>26</v>
      </c>
      <c r="E152" t="str">
        <f>"NL00740024944"</f>
        <v>NL00740024944</v>
      </c>
      <c r="F152" s="1">
        <v>43656</v>
      </c>
      <c r="G152" s="1">
        <v>45483</v>
      </c>
    </row>
    <row r="153" spans="1:7" x14ac:dyDescent="0.25">
      <c r="A153" t="s">
        <v>524</v>
      </c>
      <c r="B153" t="s">
        <v>525</v>
      </c>
      <c r="C153" t="s">
        <v>526</v>
      </c>
      <c r="D153" t="s">
        <v>527</v>
      </c>
      <c r="E153" t="str">
        <f>"NL00740022298"</f>
        <v>NL00740022298</v>
      </c>
      <c r="F153" s="1">
        <v>43489</v>
      </c>
      <c r="G153" s="1">
        <v>45314</v>
      </c>
    </row>
    <row r="154" spans="1:7" x14ac:dyDescent="0.25">
      <c r="A154" t="s">
        <v>528</v>
      </c>
      <c r="B154" t="s">
        <v>529</v>
      </c>
      <c r="C154" t="s">
        <v>392</v>
      </c>
      <c r="D154" t="s">
        <v>43</v>
      </c>
      <c r="E154" t="str">
        <f>"NL00740007410"</f>
        <v>NL00740007410</v>
      </c>
      <c r="F154" s="1">
        <v>41922</v>
      </c>
      <c r="G154" s="1">
        <v>45527</v>
      </c>
    </row>
    <row r="155" spans="1:7" x14ac:dyDescent="0.25">
      <c r="A155" t="s">
        <v>530</v>
      </c>
      <c r="B155" t="s">
        <v>531</v>
      </c>
      <c r="C155" t="s">
        <v>532</v>
      </c>
      <c r="D155" t="s">
        <v>43</v>
      </c>
      <c r="E155" t="str">
        <f>"NL00740014328"</f>
        <v>NL00740014328</v>
      </c>
      <c r="F155" s="1">
        <v>42753</v>
      </c>
      <c r="G155" s="1">
        <v>44578</v>
      </c>
    </row>
    <row r="156" spans="1:7" x14ac:dyDescent="0.25">
      <c r="A156" t="s">
        <v>533</v>
      </c>
      <c r="B156" t="s">
        <v>534</v>
      </c>
      <c r="C156" t="s">
        <v>535</v>
      </c>
      <c r="D156" t="s">
        <v>52</v>
      </c>
      <c r="E156" t="str">
        <f>"NL00740008279"</f>
        <v>NL00740008279</v>
      </c>
      <c r="F156" s="1">
        <v>42059</v>
      </c>
      <c r="G156" s="1">
        <v>45588</v>
      </c>
    </row>
    <row r="157" spans="1:7" x14ac:dyDescent="0.25">
      <c r="A157" t="s">
        <v>536</v>
      </c>
      <c r="B157" t="s">
        <v>537</v>
      </c>
      <c r="C157" t="s">
        <v>538</v>
      </c>
      <c r="D157" t="s">
        <v>260</v>
      </c>
      <c r="E157" t="str">
        <f>"NL00740012588"</f>
        <v>NL00740012588</v>
      </c>
      <c r="F157" s="1">
        <v>42486</v>
      </c>
      <c r="G157" s="1">
        <v>44312</v>
      </c>
    </row>
    <row r="158" spans="1:7" x14ac:dyDescent="0.25">
      <c r="A158" t="s">
        <v>539</v>
      </c>
      <c r="B158" t="s">
        <v>540</v>
      </c>
      <c r="C158" t="s">
        <v>541</v>
      </c>
      <c r="D158" t="s">
        <v>542</v>
      </c>
      <c r="E158" t="str">
        <f>"NL00740002203"</f>
        <v>NL00740002203</v>
      </c>
      <c r="F158" s="1">
        <v>40940</v>
      </c>
      <c r="G158" s="1">
        <v>44507</v>
      </c>
    </row>
    <row r="159" spans="1:7" x14ac:dyDescent="0.25">
      <c r="A159" t="s">
        <v>543</v>
      </c>
      <c r="B159" t="s">
        <v>544</v>
      </c>
      <c r="C159" t="s">
        <v>545</v>
      </c>
      <c r="D159" t="s">
        <v>546</v>
      </c>
      <c r="E159" t="str">
        <f>"NL00740012827"</f>
        <v>NL00740012827</v>
      </c>
      <c r="F159" s="1">
        <v>42527</v>
      </c>
      <c r="G159" s="1">
        <v>44353</v>
      </c>
    </row>
    <row r="160" spans="1:7" x14ac:dyDescent="0.25">
      <c r="A160" t="s">
        <v>547</v>
      </c>
      <c r="B160" t="s">
        <v>548</v>
      </c>
      <c r="C160" t="s">
        <v>549</v>
      </c>
      <c r="D160" t="s">
        <v>238</v>
      </c>
      <c r="E160" t="str">
        <f>"NL00740015320"</f>
        <v>NL00740015320</v>
      </c>
      <c r="F160" s="1">
        <v>42905</v>
      </c>
      <c r="G160" s="1">
        <v>44731</v>
      </c>
    </row>
    <row r="161" spans="1:7" x14ac:dyDescent="0.25">
      <c r="A161" t="s">
        <v>550</v>
      </c>
      <c r="B161" t="s">
        <v>551</v>
      </c>
      <c r="C161" t="s">
        <v>552</v>
      </c>
      <c r="D161" t="s">
        <v>457</v>
      </c>
      <c r="E161" t="str">
        <f>"NL00740010310"</f>
        <v>NL00740010310</v>
      </c>
      <c r="F161" s="1">
        <v>42384</v>
      </c>
      <c r="G161" s="1">
        <v>44211</v>
      </c>
    </row>
    <row r="162" spans="1:7" x14ac:dyDescent="0.25">
      <c r="A162" t="s">
        <v>553</v>
      </c>
      <c r="B162" t="s">
        <v>554</v>
      </c>
      <c r="C162" t="s">
        <v>555</v>
      </c>
      <c r="D162" t="s">
        <v>66</v>
      </c>
      <c r="E162" t="str">
        <f>"NL00740010440"</f>
        <v>NL00740010440</v>
      </c>
      <c r="F162" s="1">
        <v>42415</v>
      </c>
      <c r="G162" s="1">
        <v>44242</v>
      </c>
    </row>
    <row r="163" spans="1:7" x14ac:dyDescent="0.25">
      <c r="A163" t="s">
        <v>556</v>
      </c>
      <c r="B163" t="s">
        <v>557</v>
      </c>
      <c r="C163" t="s">
        <v>558</v>
      </c>
      <c r="D163" t="s">
        <v>78</v>
      </c>
      <c r="E163" t="str">
        <f>"NL00740008887"</f>
        <v>NL00740008887</v>
      </c>
      <c r="F163" s="1">
        <v>42171</v>
      </c>
      <c r="G163" s="1">
        <v>45707</v>
      </c>
    </row>
    <row r="164" spans="1:7" x14ac:dyDescent="0.25">
      <c r="A164" t="s">
        <v>559</v>
      </c>
      <c r="B164" t="s">
        <v>560</v>
      </c>
      <c r="C164" t="s">
        <v>561</v>
      </c>
      <c r="D164" t="s">
        <v>52</v>
      </c>
      <c r="E164" t="str">
        <f>"NL00740004519"</f>
        <v>NL00740004519</v>
      </c>
      <c r="F164" s="1">
        <v>41153</v>
      </c>
      <c r="G164" s="1">
        <v>44759</v>
      </c>
    </row>
    <row r="165" spans="1:7" x14ac:dyDescent="0.25">
      <c r="A165" t="s">
        <v>517</v>
      </c>
      <c r="B165" t="s">
        <v>518</v>
      </c>
      <c r="C165" t="s">
        <v>519</v>
      </c>
      <c r="D165" t="s">
        <v>520</v>
      </c>
      <c r="E165" t="str">
        <f>"NL00740015415"</f>
        <v>NL00740015415</v>
      </c>
      <c r="F165" s="1">
        <v>42920</v>
      </c>
      <c r="G165" s="1">
        <v>44746</v>
      </c>
    </row>
    <row r="166" spans="1:7" x14ac:dyDescent="0.25">
      <c r="A166" t="s">
        <v>562</v>
      </c>
      <c r="B166" t="s">
        <v>563</v>
      </c>
      <c r="C166" t="s">
        <v>564</v>
      </c>
      <c r="D166" t="s">
        <v>59</v>
      </c>
      <c r="E166" t="str">
        <f>"NL00740012958"</f>
        <v>NL00740012958</v>
      </c>
      <c r="F166" s="1">
        <v>42548</v>
      </c>
      <c r="G166" s="1">
        <v>44374</v>
      </c>
    </row>
    <row r="167" spans="1:7" x14ac:dyDescent="0.25">
      <c r="A167" t="s">
        <v>565</v>
      </c>
      <c r="B167" t="s">
        <v>566</v>
      </c>
      <c r="C167" t="s">
        <v>567</v>
      </c>
      <c r="D167" t="s">
        <v>568</v>
      </c>
      <c r="E167" t="str">
        <f>"NL00740010154"</f>
        <v>NL00740010154</v>
      </c>
      <c r="F167" s="1">
        <v>42354</v>
      </c>
      <c r="G167" s="1">
        <v>44181</v>
      </c>
    </row>
    <row r="168" spans="1:7" x14ac:dyDescent="0.25">
      <c r="A168" t="s">
        <v>569</v>
      </c>
      <c r="B168" t="s">
        <v>570</v>
      </c>
      <c r="C168" t="s">
        <v>571</v>
      </c>
      <c r="D168" t="s">
        <v>384</v>
      </c>
      <c r="E168" t="str">
        <f>"NL00740021482"</f>
        <v>NL00740021482</v>
      </c>
      <c r="F168" s="1">
        <v>43455</v>
      </c>
      <c r="G168" s="1">
        <v>45281</v>
      </c>
    </row>
    <row r="169" spans="1:7" x14ac:dyDescent="0.25">
      <c r="A169" t="s">
        <v>572</v>
      </c>
      <c r="B169" t="s">
        <v>573</v>
      </c>
      <c r="C169" t="s">
        <v>574</v>
      </c>
      <c r="D169" t="s">
        <v>384</v>
      </c>
      <c r="E169" t="str">
        <f>"NL00740009878"</f>
        <v>NL00740009878</v>
      </c>
      <c r="F169" s="1">
        <v>42318</v>
      </c>
      <c r="G169" s="1">
        <v>44145</v>
      </c>
    </row>
    <row r="170" spans="1:7" x14ac:dyDescent="0.25">
      <c r="A170" t="s">
        <v>575</v>
      </c>
      <c r="B170" t="s">
        <v>576</v>
      </c>
      <c r="C170" t="s">
        <v>577</v>
      </c>
      <c r="D170" t="s">
        <v>39</v>
      </c>
      <c r="E170" t="str">
        <f>"NL00740025274"</f>
        <v>NL00740025274</v>
      </c>
      <c r="F170" s="1">
        <v>43703</v>
      </c>
      <c r="G170" s="1">
        <v>45528</v>
      </c>
    </row>
    <row r="171" spans="1:7" x14ac:dyDescent="0.25">
      <c r="A171" t="s">
        <v>578</v>
      </c>
      <c r="B171" t="s">
        <v>579</v>
      </c>
      <c r="C171" t="s">
        <v>580</v>
      </c>
      <c r="D171" t="s">
        <v>10</v>
      </c>
      <c r="E171" t="str">
        <f>"NL00740012136"</f>
        <v>NL00740012136</v>
      </c>
      <c r="F171" s="1">
        <v>42436</v>
      </c>
      <c r="G171" s="1">
        <v>44257</v>
      </c>
    </row>
    <row r="172" spans="1:7" x14ac:dyDescent="0.25">
      <c r="A172" t="s">
        <v>581</v>
      </c>
      <c r="B172" t="s">
        <v>582</v>
      </c>
      <c r="C172" t="s">
        <v>583</v>
      </c>
      <c r="D172" t="s">
        <v>148</v>
      </c>
      <c r="E172" t="str">
        <f>"NL00740014941"</f>
        <v>NL00740014941</v>
      </c>
      <c r="F172" s="1">
        <v>42843</v>
      </c>
      <c r="G172" s="1">
        <v>44669</v>
      </c>
    </row>
    <row r="173" spans="1:7" x14ac:dyDescent="0.25">
      <c r="A173" t="s">
        <v>584</v>
      </c>
      <c r="B173" t="s">
        <v>585</v>
      </c>
      <c r="C173" t="s">
        <v>586</v>
      </c>
      <c r="D173" t="s">
        <v>587</v>
      </c>
      <c r="E173" t="str">
        <f>"NL00740017276"</f>
        <v>NL00740017276</v>
      </c>
      <c r="F173" s="1">
        <v>43194</v>
      </c>
      <c r="G173" s="1">
        <v>45020</v>
      </c>
    </row>
    <row r="174" spans="1:7" x14ac:dyDescent="0.25">
      <c r="A174" t="s">
        <v>588</v>
      </c>
      <c r="B174" t="s">
        <v>589</v>
      </c>
      <c r="C174" t="s">
        <v>590</v>
      </c>
      <c r="D174" t="s">
        <v>478</v>
      </c>
      <c r="E174" t="str">
        <f>"NL00740004553"</f>
        <v>NL00740004553</v>
      </c>
      <c r="F174" s="1">
        <v>41153</v>
      </c>
      <c r="G174" s="1">
        <v>44763</v>
      </c>
    </row>
    <row r="175" spans="1:7" x14ac:dyDescent="0.25">
      <c r="A175" t="s">
        <v>591</v>
      </c>
      <c r="C175" t="s">
        <v>592</v>
      </c>
      <c r="D175" t="s">
        <v>593</v>
      </c>
      <c r="E175" t="str">
        <f>"NL00740014565"</f>
        <v>NL00740014565</v>
      </c>
      <c r="F175" s="1">
        <v>42781</v>
      </c>
      <c r="G175" s="1">
        <v>44607</v>
      </c>
    </row>
    <row r="176" spans="1:7" x14ac:dyDescent="0.25">
      <c r="A176" t="s">
        <v>594</v>
      </c>
      <c r="C176" t="s">
        <v>595</v>
      </c>
      <c r="D176" t="s">
        <v>126</v>
      </c>
      <c r="E176" t="str">
        <f>"NL00740009880"</f>
        <v>NL00740009880</v>
      </c>
      <c r="F176" s="1">
        <v>42320</v>
      </c>
      <c r="G176" s="1">
        <v>44147</v>
      </c>
    </row>
    <row r="177" spans="1:7" x14ac:dyDescent="0.25">
      <c r="A177" t="s">
        <v>596</v>
      </c>
      <c r="B177" t="s">
        <v>597</v>
      </c>
      <c r="C177" t="s">
        <v>598</v>
      </c>
      <c r="D177" t="s">
        <v>48</v>
      </c>
      <c r="E177" t="str">
        <f>"NL00740010528"</f>
        <v>NL00740010528</v>
      </c>
      <c r="F177" s="1">
        <v>42416</v>
      </c>
      <c r="G177" s="1">
        <v>44243</v>
      </c>
    </row>
    <row r="178" spans="1:7" x14ac:dyDescent="0.25">
      <c r="A178" t="s">
        <v>599</v>
      </c>
      <c r="B178" t="s">
        <v>600</v>
      </c>
      <c r="C178" t="s">
        <v>601</v>
      </c>
      <c r="D178" t="s">
        <v>602</v>
      </c>
      <c r="E178" t="str">
        <f>"NL00740017794"</f>
        <v>NL00740017794</v>
      </c>
      <c r="F178" s="1">
        <v>43243</v>
      </c>
      <c r="G178" s="1">
        <v>45069</v>
      </c>
    </row>
    <row r="179" spans="1:7" x14ac:dyDescent="0.25">
      <c r="A179" t="s">
        <v>603</v>
      </c>
      <c r="B179" t="s">
        <v>604</v>
      </c>
      <c r="C179" t="s">
        <v>605</v>
      </c>
      <c r="D179" t="s">
        <v>546</v>
      </c>
      <c r="E179" t="str">
        <f>"NL00740010009"</f>
        <v>NL00740010009</v>
      </c>
      <c r="F179" s="1">
        <v>42335</v>
      </c>
      <c r="G179" s="1">
        <v>44162</v>
      </c>
    </row>
    <row r="180" spans="1:7" x14ac:dyDescent="0.25">
      <c r="A180" t="s">
        <v>606</v>
      </c>
      <c r="B180" t="s">
        <v>607</v>
      </c>
      <c r="C180" t="s">
        <v>608</v>
      </c>
      <c r="D180" t="s">
        <v>609</v>
      </c>
      <c r="E180" t="str">
        <f>"NL00740027220"</f>
        <v>NL00740027220</v>
      </c>
      <c r="F180" s="1">
        <v>44007</v>
      </c>
      <c r="G180" s="1">
        <v>45833</v>
      </c>
    </row>
    <row r="181" spans="1:7" x14ac:dyDescent="0.25">
      <c r="A181" t="s">
        <v>610</v>
      </c>
      <c r="B181" t="s">
        <v>611</v>
      </c>
      <c r="C181" t="s">
        <v>612</v>
      </c>
      <c r="D181" t="s">
        <v>613</v>
      </c>
      <c r="E181" t="str">
        <f>"NL00740013798"</f>
        <v>NL00740013798</v>
      </c>
      <c r="F181" s="1">
        <v>42683</v>
      </c>
      <c r="G181" s="1">
        <v>44503</v>
      </c>
    </row>
    <row r="182" spans="1:7" x14ac:dyDescent="0.25">
      <c r="A182" t="s">
        <v>614</v>
      </c>
      <c r="B182" t="s">
        <v>615</v>
      </c>
      <c r="C182" t="s">
        <v>616</v>
      </c>
      <c r="D182" t="s">
        <v>238</v>
      </c>
      <c r="E182" t="str">
        <f>"NL00740005231"</f>
        <v>NL00740005231</v>
      </c>
      <c r="F182" s="1">
        <v>41277</v>
      </c>
      <c r="G182" s="1">
        <v>44878</v>
      </c>
    </row>
    <row r="183" spans="1:7" x14ac:dyDescent="0.25">
      <c r="A183" t="s">
        <v>617</v>
      </c>
      <c r="B183" t="s">
        <v>618</v>
      </c>
      <c r="C183" t="s">
        <v>619</v>
      </c>
      <c r="D183" t="s">
        <v>66</v>
      </c>
      <c r="E183" t="str">
        <f>"NL00740008501"</f>
        <v>NL00740008501</v>
      </c>
      <c r="F183" s="1">
        <v>42093</v>
      </c>
      <c r="G183" s="1">
        <v>45734</v>
      </c>
    </row>
    <row r="184" spans="1:7" x14ac:dyDescent="0.25">
      <c r="A184" t="s">
        <v>620</v>
      </c>
      <c r="B184" t="s">
        <v>621</v>
      </c>
      <c r="C184" t="s">
        <v>622</v>
      </c>
      <c r="D184" t="s">
        <v>478</v>
      </c>
      <c r="E184" t="str">
        <f>"NL00740012932"</f>
        <v>NL00740012932</v>
      </c>
      <c r="F184" s="1">
        <v>42544</v>
      </c>
      <c r="G184" s="1">
        <v>44369</v>
      </c>
    </row>
    <row r="185" spans="1:7" x14ac:dyDescent="0.25">
      <c r="A185" t="s">
        <v>623</v>
      </c>
      <c r="B185" t="s">
        <v>624</v>
      </c>
      <c r="C185" t="s">
        <v>625</v>
      </c>
      <c r="D185" t="s">
        <v>66</v>
      </c>
      <c r="E185" t="str">
        <f>"NL00740017162"</f>
        <v>NL00740017162</v>
      </c>
      <c r="F185" s="1">
        <v>43174</v>
      </c>
    </row>
    <row r="186" spans="1:7" x14ac:dyDescent="0.25">
      <c r="A186" t="s">
        <v>626</v>
      </c>
      <c r="B186" t="s">
        <v>627</v>
      </c>
      <c r="C186" t="s">
        <v>196</v>
      </c>
      <c r="D186" t="s">
        <v>66</v>
      </c>
      <c r="E186" t="str">
        <f>"NL00740002400"</f>
        <v>NL00740002400</v>
      </c>
      <c r="F186" s="1">
        <v>40954</v>
      </c>
      <c r="G186" s="1">
        <v>44515</v>
      </c>
    </row>
    <row r="187" spans="1:7" x14ac:dyDescent="0.25">
      <c r="A187" t="s">
        <v>628</v>
      </c>
      <c r="C187" t="s">
        <v>629</v>
      </c>
      <c r="D187" t="s">
        <v>39</v>
      </c>
      <c r="E187" t="str">
        <f>"NL00740015051"</f>
        <v>NL00740015051</v>
      </c>
      <c r="F187" s="1">
        <v>42864</v>
      </c>
      <c r="G187" s="1">
        <v>44685</v>
      </c>
    </row>
    <row r="188" spans="1:7" x14ac:dyDescent="0.25">
      <c r="A188" t="s">
        <v>630</v>
      </c>
      <c r="B188" t="s">
        <v>631</v>
      </c>
      <c r="C188" t="s">
        <v>632</v>
      </c>
      <c r="D188" t="s">
        <v>633</v>
      </c>
      <c r="E188" t="str">
        <f>"NL00740012655"</f>
        <v>NL00740012655</v>
      </c>
      <c r="F188" s="1">
        <v>42502</v>
      </c>
      <c r="G188" s="1">
        <v>44328</v>
      </c>
    </row>
    <row r="189" spans="1:7" x14ac:dyDescent="0.25">
      <c r="A189" t="s">
        <v>634</v>
      </c>
      <c r="B189" t="s">
        <v>635</v>
      </c>
      <c r="C189" t="s">
        <v>636</v>
      </c>
      <c r="D189" t="s">
        <v>637</v>
      </c>
      <c r="E189" t="str">
        <f>"NL00740009816"</f>
        <v>NL00740009816</v>
      </c>
      <c r="F189" s="1">
        <v>42310</v>
      </c>
      <c r="G189" s="1">
        <v>44137</v>
      </c>
    </row>
    <row r="190" spans="1:7" x14ac:dyDescent="0.25">
      <c r="A190" t="s">
        <v>638</v>
      </c>
      <c r="B190" t="s">
        <v>639</v>
      </c>
      <c r="C190" t="s">
        <v>640</v>
      </c>
      <c r="D190" t="s">
        <v>641</v>
      </c>
      <c r="E190" t="str">
        <f>"NL00740013473"</f>
        <v>NL00740013473</v>
      </c>
      <c r="F190" s="1">
        <v>42655</v>
      </c>
    </row>
    <row r="191" spans="1:7" x14ac:dyDescent="0.25">
      <c r="A191" t="s">
        <v>642</v>
      </c>
      <c r="B191" t="s">
        <v>643</v>
      </c>
      <c r="C191" t="s">
        <v>644</v>
      </c>
      <c r="D191" t="s">
        <v>47</v>
      </c>
      <c r="E191" t="str">
        <f>"NL00740002453"</f>
        <v>NL00740002453</v>
      </c>
      <c r="F191" s="1">
        <v>40969</v>
      </c>
      <c r="G191" s="1">
        <v>44581</v>
      </c>
    </row>
    <row r="192" spans="1:7" x14ac:dyDescent="0.25">
      <c r="A192" t="s">
        <v>645</v>
      </c>
      <c r="B192" t="s">
        <v>646</v>
      </c>
      <c r="C192" t="s">
        <v>647</v>
      </c>
      <c r="D192" t="s">
        <v>648</v>
      </c>
      <c r="E192" t="str">
        <f>"NL00740021439"</f>
        <v>NL00740021439</v>
      </c>
      <c r="F192" s="1">
        <v>43454</v>
      </c>
      <c r="G192" s="1">
        <v>45280</v>
      </c>
    </row>
    <row r="193" spans="1:7" x14ac:dyDescent="0.25">
      <c r="A193" t="s">
        <v>649</v>
      </c>
      <c r="B193" t="s">
        <v>650</v>
      </c>
      <c r="C193" t="s">
        <v>651</v>
      </c>
      <c r="D193" t="s">
        <v>652</v>
      </c>
      <c r="E193" t="str">
        <f>"NL00740015227"</f>
        <v>NL00740015227</v>
      </c>
      <c r="F193" s="1">
        <v>42894</v>
      </c>
      <c r="G193" s="1">
        <v>44713</v>
      </c>
    </row>
    <row r="194" spans="1:7" x14ac:dyDescent="0.25">
      <c r="A194" t="s">
        <v>653</v>
      </c>
      <c r="C194" t="s">
        <v>654</v>
      </c>
      <c r="D194" t="s">
        <v>238</v>
      </c>
      <c r="E194" t="str">
        <f>"NL00740013891"</f>
        <v>NL00740013891</v>
      </c>
      <c r="F194" s="1">
        <v>42711</v>
      </c>
      <c r="G194" s="1">
        <v>44516</v>
      </c>
    </row>
    <row r="195" spans="1:7" x14ac:dyDescent="0.25">
      <c r="A195" t="s">
        <v>655</v>
      </c>
      <c r="B195" t="s">
        <v>656</v>
      </c>
      <c r="C195" t="s">
        <v>657</v>
      </c>
      <c r="D195" t="s">
        <v>66</v>
      </c>
      <c r="E195" t="str">
        <f>"NL00740317522"</f>
        <v>NL00740317522</v>
      </c>
      <c r="F195" s="1">
        <v>41562</v>
      </c>
      <c r="G195" s="1">
        <v>45160</v>
      </c>
    </row>
    <row r="196" spans="1:7" x14ac:dyDescent="0.25">
      <c r="A196" t="s">
        <v>658</v>
      </c>
      <c r="B196" t="s">
        <v>659</v>
      </c>
      <c r="C196" t="s">
        <v>660</v>
      </c>
      <c r="D196" t="s">
        <v>661</v>
      </c>
      <c r="E196" t="str">
        <f>"NL00740006898"</f>
        <v>NL00740006898</v>
      </c>
      <c r="F196" s="1">
        <v>41841</v>
      </c>
      <c r="G196" s="1">
        <v>45471</v>
      </c>
    </row>
    <row r="197" spans="1:7" x14ac:dyDescent="0.25">
      <c r="A197" t="s">
        <v>662</v>
      </c>
      <c r="B197" t="s">
        <v>663</v>
      </c>
      <c r="C197" t="s">
        <v>664</v>
      </c>
      <c r="D197" t="s">
        <v>441</v>
      </c>
      <c r="E197" t="str">
        <f>"NL00740015566"</f>
        <v>NL00740015566</v>
      </c>
      <c r="F197" s="1">
        <v>42940</v>
      </c>
      <c r="G197" s="1">
        <v>44766</v>
      </c>
    </row>
    <row r="198" spans="1:7" x14ac:dyDescent="0.25">
      <c r="A198" t="s">
        <v>665</v>
      </c>
      <c r="B198" t="s">
        <v>666</v>
      </c>
      <c r="C198" t="s">
        <v>667</v>
      </c>
      <c r="D198" t="s">
        <v>668</v>
      </c>
      <c r="E198" t="str">
        <f>"NL00740016886"</f>
        <v>NL00740016886</v>
      </c>
      <c r="F198" s="1">
        <v>43138</v>
      </c>
      <c r="G198" s="1">
        <v>44964</v>
      </c>
    </row>
    <row r="199" spans="1:7" x14ac:dyDescent="0.25">
      <c r="A199" t="s">
        <v>669</v>
      </c>
      <c r="B199" t="s">
        <v>670</v>
      </c>
      <c r="C199" t="s">
        <v>671</v>
      </c>
      <c r="D199" t="s">
        <v>332</v>
      </c>
      <c r="E199" t="str">
        <f>"NL00740017023"</f>
        <v>NL00740017023</v>
      </c>
      <c r="F199" s="1">
        <v>43158</v>
      </c>
      <c r="G199" s="1">
        <v>44984</v>
      </c>
    </row>
    <row r="200" spans="1:7" x14ac:dyDescent="0.25">
      <c r="A200" t="s">
        <v>672</v>
      </c>
      <c r="B200" t="s">
        <v>673</v>
      </c>
      <c r="C200" t="s">
        <v>674</v>
      </c>
      <c r="D200" t="s">
        <v>47</v>
      </c>
      <c r="E200" t="str">
        <f>"NL00740027267"</f>
        <v>NL00740027267</v>
      </c>
      <c r="F200" s="1">
        <v>44019</v>
      </c>
      <c r="G200" s="1">
        <v>45845</v>
      </c>
    </row>
    <row r="201" spans="1:7" x14ac:dyDescent="0.25">
      <c r="A201" t="s">
        <v>675</v>
      </c>
      <c r="B201" t="s">
        <v>676</v>
      </c>
      <c r="C201" t="s">
        <v>677</v>
      </c>
      <c r="D201" t="s">
        <v>66</v>
      </c>
      <c r="E201" t="str">
        <f>"NL00740017546"</f>
        <v>NL00740017546</v>
      </c>
      <c r="F201" s="1">
        <v>43215</v>
      </c>
      <c r="G201" s="1">
        <v>45041</v>
      </c>
    </row>
    <row r="202" spans="1:7" x14ac:dyDescent="0.25">
      <c r="A202" t="s">
        <v>678</v>
      </c>
      <c r="B202" t="s">
        <v>679</v>
      </c>
      <c r="C202" t="s">
        <v>680</v>
      </c>
      <c r="D202" t="s">
        <v>52</v>
      </c>
      <c r="E202" t="str">
        <f>"NL00740015089"</f>
        <v>NL00740015089</v>
      </c>
      <c r="F202" s="1">
        <v>42865</v>
      </c>
      <c r="G202" s="1">
        <v>44691</v>
      </c>
    </row>
    <row r="203" spans="1:7" x14ac:dyDescent="0.25">
      <c r="A203" t="s">
        <v>681</v>
      </c>
      <c r="B203" t="s">
        <v>682</v>
      </c>
      <c r="C203" t="s">
        <v>683</v>
      </c>
      <c r="D203" t="s">
        <v>684</v>
      </c>
      <c r="E203" t="str">
        <f>"NL00740018865"</f>
        <v>NL00740018865</v>
      </c>
      <c r="F203" s="1">
        <v>43370</v>
      </c>
      <c r="G203" s="1">
        <v>45196</v>
      </c>
    </row>
    <row r="204" spans="1:7" x14ac:dyDescent="0.25">
      <c r="A204" t="s">
        <v>685</v>
      </c>
      <c r="B204" t="s">
        <v>686</v>
      </c>
      <c r="C204" t="s">
        <v>687</v>
      </c>
      <c r="D204" t="s">
        <v>88</v>
      </c>
      <c r="E204" t="str">
        <f>"NL00740002545"</f>
        <v>NL00740002545</v>
      </c>
      <c r="F204" s="1">
        <v>42787</v>
      </c>
      <c r="G204" s="1">
        <v>44613</v>
      </c>
    </row>
    <row r="205" spans="1:7" x14ac:dyDescent="0.25">
      <c r="A205" t="s">
        <v>688</v>
      </c>
      <c r="B205" t="s">
        <v>689</v>
      </c>
      <c r="C205" t="s">
        <v>690</v>
      </c>
      <c r="D205" t="s">
        <v>691</v>
      </c>
      <c r="E205" t="str">
        <f>"NL00740027384"</f>
        <v>NL00740027384</v>
      </c>
      <c r="F205" s="1">
        <v>44042</v>
      </c>
      <c r="G205" s="1">
        <v>45868</v>
      </c>
    </row>
    <row r="206" spans="1:7" x14ac:dyDescent="0.25">
      <c r="A206" t="s">
        <v>692</v>
      </c>
      <c r="B206" t="s">
        <v>64</v>
      </c>
      <c r="C206" t="s">
        <v>65</v>
      </c>
      <c r="D206" t="s">
        <v>66</v>
      </c>
      <c r="E206" t="str">
        <f>"NL00740026964"</f>
        <v>NL00740026964</v>
      </c>
      <c r="F206" s="1">
        <v>43938</v>
      </c>
      <c r="G206" s="1">
        <v>45763</v>
      </c>
    </row>
    <row r="207" spans="1:7" x14ac:dyDescent="0.25">
      <c r="A207" t="s">
        <v>693</v>
      </c>
      <c r="B207" t="s">
        <v>694</v>
      </c>
      <c r="C207" t="s">
        <v>695</v>
      </c>
      <c r="D207" t="s">
        <v>633</v>
      </c>
      <c r="E207" t="str">
        <f>"NL00740025111"</f>
        <v>NL00740025111</v>
      </c>
      <c r="F207" s="1">
        <v>43679</v>
      </c>
      <c r="G207" s="1">
        <v>45506</v>
      </c>
    </row>
    <row r="208" spans="1:7" x14ac:dyDescent="0.25">
      <c r="A208" t="s">
        <v>696</v>
      </c>
      <c r="B208" t="s">
        <v>697</v>
      </c>
      <c r="C208" t="s">
        <v>698</v>
      </c>
      <c r="D208" t="s">
        <v>78</v>
      </c>
      <c r="E208" t="str">
        <f>"NL00740010308"</f>
        <v>NL00740010308</v>
      </c>
      <c r="F208" s="1">
        <v>42384</v>
      </c>
      <c r="G208" s="1">
        <v>44211</v>
      </c>
    </row>
    <row r="209" spans="1:7" x14ac:dyDescent="0.25">
      <c r="A209" t="s">
        <v>699</v>
      </c>
      <c r="B209" t="s">
        <v>700</v>
      </c>
      <c r="C209" t="s">
        <v>701</v>
      </c>
      <c r="D209" t="s">
        <v>253</v>
      </c>
      <c r="E209" t="str">
        <f>"NL00740025678"</f>
        <v>NL00740025678</v>
      </c>
      <c r="F209" s="1">
        <v>43769</v>
      </c>
      <c r="G209" s="1">
        <v>45596</v>
      </c>
    </row>
    <row r="210" spans="1:7" x14ac:dyDescent="0.25">
      <c r="A210" t="s">
        <v>702</v>
      </c>
      <c r="B210" t="s">
        <v>703</v>
      </c>
      <c r="C210" t="s">
        <v>704</v>
      </c>
      <c r="D210" t="s">
        <v>705</v>
      </c>
      <c r="E210" t="str">
        <f>"NL00740012089"</f>
        <v>NL00740012089</v>
      </c>
      <c r="F210" s="1">
        <v>42436</v>
      </c>
      <c r="G210" s="1">
        <v>44250</v>
      </c>
    </row>
    <row r="211" spans="1:7" x14ac:dyDescent="0.25">
      <c r="A211" t="s">
        <v>706</v>
      </c>
      <c r="B211" t="s">
        <v>694</v>
      </c>
      <c r="C211" t="s">
        <v>695</v>
      </c>
      <c r="D211" t="s">
        <v>633</v>
      </c>
      <c r="E211" t="str">
        <f>"NL00740025110"</f>
        <v>NL00740025110</v>
      </c>
      <c r="F211" s="1">
        <v>43679</v>
      </c>
      <c r="G211" s="1">
        <v>45506</v>
      </c>
    </row>
    <row r="212" spans="1:7" x14ac:dyDescent="0.25">
      <c r="A212" t="s">
        <v>707</v>
      </c>
      <c r="B212" t="s">
        <v>708</v>
      </c>
      <c r="C212" t="s">
        <v>709</v>
      </c>
      <c r="D212" t="s">
        <v>106</v>
      </c>
      <c r="E212" t="str">
        <f>"NL00740017640"</f>
        <v>NL00740017640</v>
      </c>
      <c r="F212" s="1">
        <v>43223</v>
      </c>
      <c r="G212" s="1">
        <v>45049</v>
      </c>
    </row>
    <row r="213" spans="1:7" x14ac:dyDescent="0.25">
      <c r="A213" t="s">
        <v>710</v>
      </c>
      <c r="B213" t="s">
        <v>711</v>
      </c>
      <c r="C213" t="s">
        <v>712</v>
      </c>
      <c r="D213" t="s">
        <v>10</v>
      </c>
      <c r="E213" t="str">
        <f>"NL00740025008"</f>
        <v>NL00740025008</v>
      </c>
      <c r="F213" s="1">
        <v>43665</v>
      </c>
      <c r="G213" s="1">
        <v>45491</v>
      </c>
    </row>
    <row r="214" spans="1:7" x14ac:dyDescent="0.25">
      <c r="A214" t="s">
        <v>713</v>
      </c>
      <c r="B214" t="s">
        <v>714</v>
      </c>
      <c r="C214" t="s">
        <v>715</v>
      </c>
      <c r="D214" t="s">
        <v>320</v>
      </c>
      <c r="E214" t="str">
        <f>"NL00740014425"</f>
        <v>NL00740014425</v>
      </c>
      <c r="F214" s="1">
        <v>42766</v>
      </c>
      <c r="G214" s="1">
        <v>44588</v>
      </c>
    </row>
    <row r="215" spans="1:7" x14ac:dyDescent="0.25">
      <c r="A215" t="s">
        <v>716</v>
      </c>
      <c r="B215" t="s">
        <v>717</v>
      </c>
      <c r="C215" t="s">
        <v>718</v>
      </c>
      <c r="D215" t="s">
        <v>14</v>
      </c>
      <c r="E215" t="str">
        <f>"NL00740005221"</f>
        <v>NL00740005221</v>
      </c>
      <c r="F215" s="1">
        <v>41258</v>
      </c>
      <c r="G215" s="1">
        <v>44817</v>
      </c>
    </row>
    <row r="216" spans="1:7" x14ac:dyDescent="0.25">
      <c r="A216" t="s">
        <v>719</v>
      </c>
      <c r="B216" t="s">
        <v>720</v>
      </c>
      <c r="C216" t="s">
        <v>721</v>
      </c>
      <c r="D216" t="s">
        <v>52</v>
      </c>
      <c r="E216" t="str">
        <f>"NL00740318525"</f>
        <v>NL00740318525</v>
      </c>
      <c r="F216" s="1">
        <v>41609</v>
      </c>
      <c r="G216" s="1">
        <v>45155</v>
      </c>
    </row>
    <row r="217" spans="1:7" x14ac:dyDescent="0.25">
      <c r="A217" t="s">
        <v>722</v>
      </c>
      <c r="B217" t="s">
        <v>723</v>
      </c>
      <c r="C217" t="s">
        <v>724</v>
      </c>
      <c r="D217" t="s">
        <v>10</v>
      </c>
      <c r="E217" t="str">
        <f>"NL00740015112"</f>
        <v>NL00740015112</v>
      </c>
      <c r="F217" s="1">
        <v>42871</v>
      </c>
      <c r="G217" s="1">
        <v>44696</v>
      </c>
    </row>
    <row r="218" spans="1:7" x14ac:dyDescent="0.25">
      <c r="A218" t="s">
        <v>725</v>
      </c>
      <c r="B218" t="s">
        <v>726</v>
      </c>
      <c r="C218" t="s">
        <v>727</v>
      </c>
      <c r="D218" t="s">
        <v>22</v>
      </c>
      <c r="E218" t="str">
        <f>"NL00740015416"</f>
        <v>NL00740015416</v>
      </c>
      <c r="F218" s="1">
        <v>42920</v>
      </c>
      <c r="G218" s="1">
        <v>44746</v>
      </c>
    </row>
    <row r="219" spans="1:7" x14ac:dyDescent="0.25">
      <c r="A219" t="s">
        <v>728</v>
      </c>
      <c r="B219" t="s">
        <v>729</v>
      </c>
      <c r="C219" t="s">
        <v>730</v>
      </c>
      <c r="D219" t="s">
        <v>384</v>
      </c>
      <c r="E219" t="str">
        <f>"NL00740012610"</f>
        <v>NL00740012610</v>
      </c>
      <c r="F219" s="1">
        <v>42489</v>
      </c>
      <c r="G219" s="1">
        <v>44315</v>
      </c>
    </row>
    <row r="220" spans="1:7" x14ac:dyDescent="0.25">
      <c r="A220" t="s">
        <v>731</v>
      </c>
      <c r="B220" t="s">
        <v>732</v>
      </c>
      <c r="C220" t="s">
        <v>733</v>
      </c>
      <c r="D220" t="s">
        <v>734</v>
      </c>
      <c r="E220" t="str">
        <f>"NL00740015748"</f>
        <v>NL00740015748</v>
      </c>
      <c r="F220" s="1">
        <v>42970</v>
      </c>
      <c r="G220" s="1">
        <v>44796</v>
      </c>
    </row>
    <row r="221" spans="1:7" x14ac:dyDescent="0.25">
      <c r="A221" t="s">
        <v>735</v>
      </c>
      <c r="B221" t="s">
        <v>736</v>
      </c>
      <c r="C221" t="s">
        <v>737</v>
      </c>
      <c r="D221" t="s">
        <v>10</v>
      </c>
      <c r="E221" t="str">
        <f>"NL00740012829"</f>
        <v>NL00740012829</v>
      </c>
      <c r="F221" s="1">
        <v>42530</v>
      </c>
      <c r="G221" s="1">
        <v>44356</v>
      </c>
    </row>
    <row r="222" spans="1:7" x14ac:dyDescent="0.25">
      <c r="A222" t="s">
        <v>738</v>
      </c>
      <c r="B222" t="s">
        <v>739</v>
      </c>
      <c r="C222" t="s">
        <v>740</v>
      </c>
      <c r="D222" t="s">
        <v>741</v>
      </c>
      <c r="E222" t="str">
        <f>"NL00740013940"</f>
        <v>NL00740013940</v>
      </c>
      <c r="F222" s="1">
        <v>42697</v>
      </c>
      <c r="G222" s="1">
        <v>44523</v>
      </c>
    </row>
    <row r="223" spans="1:7" x14ac:dyDescent="0.25">
      <c r="A223" t="s">
        <v>742</v>
      </c>
      <c r="B223" t="s">
        <v>743</v>
      </c>
      <c r="C223" t="s">
        <v>744</v>
      </c>
      <c r="D223" t="s">
        <v>745</v>
      </c>
      <c r="E223" t="str">
        <f>"NL00740010443"</f>
        <v>NL00740010443</v>
      </c>
      <c r="F223" s="1">
        <v>42418</v>
      </c>
      <c r="G223" s="1">
        <v>44245</v>
      </c>
    </row>
    <row r="224" spans="1:7" x14ac:dyDescent="0.25">
      <c r="A224" t="s">
        <v>746</v>
      </c>
      <c r="B224" t="s">
        <v>747</v>
      </c>
      <c r="C224" t="s">
        <v>748</v>
      </c>
      <c r="D224" t="s">
        <v>749</v>
      </c>
      <c r="E224" t="str">
        <f>"NL00740024014"</f>
        <v>NL00740024014</v>
      </c>
      <c r="F224" s="1">
        <v>43545</v>
      </c>
      <c r="G224" s="1">
        <v>45371</v>
      </c>
    </row>
    <row r="225" spans="1:7" x14ac:dyDescent="0.25">
      <c r="A225" t="s">
        <v>750</v>
      </c>
      <c r="B225" t="s">
        <v>751</v>
      </c>
      <c r="C225" t="s">
        <v>752</v>
      </c>
      <c r="D225" t="s">
        <v>753</v>
      </c>
      <c r="E225" t="str">
        <f>"NL00740012687"</f>
        <v>NL00740012687</v>
      </c>
      <c r="F225" s="1">
        <v>42508</v>
      </c>
      <c r="G225" s="1">
        <v>44334</v>
      </c>
    </row>
    <row r="226" spans="1:7" x14ac:dyDescent="0.25">
      <c r="A226" t="s">
        <v>754</v>
      </c>
      <c r="B226" t="s">
        <v>428</v>
      </c>
      <c r="C226" t="s">
        <v>429</v>
      </c>
      <c r="D226" t="s">
        <v>59</v>
      </c>
      <c r="E226" t="str">
        <f>"NL00740012033"</f>
        <v>NL00740012033</v>
      </c>
      <c r="F226" s="1">
        <v>42418</v>
      </c>
      <c r="G226" s="1">
        <v>44245</v>
      </c>
    </row>
    <row r="227" spans="1:7" x14ac:dyDescent="0.25">
      <c r="A227" t="s">
        <v>755</v>
      </c>
      <c r="B227" t="s">
        <v>756</v>
      </c>
      <c r="C227" t="s">
        <v>757</v>
      </c>
      <c r="D227" t="s">
        <v>52</v>
      </c>
      <c r="E227" t="str">
        <f>"NL00740005620"</f>
        <v>NL00740005620</v>
      </c>
      <c r="F227" s="1">
        <v>41320</v>
      </c>
      <c r="G227" s="1">
        <v>44893</v>
      </c>
    </row>
    <row r="228" spans="1:7" x14ac:dyDescent="0.25">
      <c r="A228" t="s">
        <v>758</v>
      </c>
      <c r="B228" t="s">
        <v>759</v>
      </c>
      <c r="C228" t="s">
        <v>760</v>
      </c>
      <c r="D228" t="s">
        <v>761</v>
      </c>
      <c r="E228" t="str">
        <f>"NL00740321600"</f>
        <v>NL00740321600</v>
      </c>
      <c r="F228" s="1">
        <v>41687</v>
      </c>
    </row>
    <row r="229" spans="1:7" x14ac:dyDescent="0.25">
      <c r="A229" t="s">
        <v>762</v>
      </c>
      <c r="B229" t="s">
        <v>763</v>
      </c>
      <c r="C229" t="s">
        <v>764</v>
      </c>
      <c r="D229" t="s">
        <v>765</v>
      </c>
      <c r="E229" t="str">
        <f>"NL00740015192"</f>
        <v>NL00740015192</v>
      </c>
      <c r="F229" s="1">
        <v>42885</v>
      </c>
      <c r="G229" s="1">
        <v>44710</v>
      </c>
    </row>
    <row r="230" spans="1:7" x14ac:dyDescent="0.25">
      <c r="A230" t="s">
        <v>766</v>
      </c>
      <c r="B230" t="s">
        <v>767</v>
      </c>
      <c r="C230" t="s">
        <v>768</v>
      </c>
      <c r="D230" t="s">
        <v>769</v>
      </c>
      <c r="E230" t="str">
        <f>"NL00740002294"</f>
        <v>NL00740002294</v>
      </c>
      <c r="F230" s="1">
        <v>40940</v>
      </c>
      <c r="G230" s="1">
        <v>44510</v>
      </c>
    </row>
    <row r="231" spans="1:7" x14ac:dyDescent="0.25">
      <c r="A231" t="s">
        <v>770</v>
      </c>
      <c r="B231" t="s">
        <v>771</v>
      </c>
      <c r="C231" t="s">
        <v>772</v>
      </c>
      <c r="D231" t="s">
        <v>148</v>
      </c>
      <c r="E231" t="str">
        <f>"NL00740012752"</f>
        <v>NL00740012752</v>
      </c>
      <c r="F231" s="1">
        <v>42516</v>
      </c>
      <c r="G231" s="1">
        <v>44342</v>
      </c>
    </row>
    <row r="232" spans="1:7" x14ac:dyDescent="0.25">
      <c r="A232" t="s">
        <v>773</v>
      </c>
      <c r="B232" t="s">
        <v>233</v>
      </c>
      <c r="C232" t="s">
        <v>234</v>
      </c>
      <c r="D232" t="s">
        <v>140</v>
      </c>
      <c r="E232" t="str">
        <f>"NL00740009861"</f>
        <v>NL00740009861</v>
      </c>
      <c r="F232" s="1">
        <v>42313</v>
      </c>
      <c r="G232" s="1">
        <v>44140</v>
      </c>
    </row>
    <row r="233" spans="1:7" x14ac:dyDescent="0.25">
      <c r="A233" t="s">
        <v>774</v>
      </c>
      <c r="B233" t="s">
        <v>775</v>
      </c>
      <c r="C233" t="s">
        <v>776</v>
      </c>
      <c r="D233" t="s">
        <v>449</v>
      </c>
      <c r="E233" t="str">
        <f>"NL00740013468"</f>
        <v>NL00740013468</v>
      </c>
      <c r="F233" s="1">
        <v>42654</v>
      </c>
    </row>
    <row r="234" spans="1:7" x14ac:dyDescent="0.25">
      <c r="A234" t="s">
        <v>777</v>
      </c>
      <c r="B234" t="s">
        <v>778</v>
      </c>
      <c r="C234" t="s">
        <v>779</v>
      </c>
      <c r="D234" t="s">
        <v>780</v>
      </c>
      <c r="E234" t="str">
        <f>"NL00740027544"</f>
        <v>NL00740027544</v>
      </c>
      <c r="F234" s="1">
        <v>44077</v>
      </c>
      <c r="G234" s="1">
        <v>45903</v>
      </c>
    </row>
    <row r="235" spans="1:7" x14ac:dyDescent="0.25">
      <c r="A235" t="s">
        <v>781</v>
      </c>
      <c r="B235" t="s">
        <v>782</v>
      </c>
      <c r="C235" t="s">
        <v>783</v>
      </c>
      <c r="D235" t="s">
        <v>66</v>
      </c>
      <c r="E235" t="str">
        <f>"NL00740024996"</f>
        <v>NL00740024996</v>
      </c>
      <c r="F235" s="1">
        <v>43663</v>
      </c>
      <c r="G235" s="1">
        <v>45490</v>
      </c>
    </row>
    <row r="236" spans="1:7" x14ac:dyDescent="0.25">
      <c r="A236" t="s">
        <v>784</v>
      </c>
      <c r="B236" t="s">
        <v>785</v>
      </c>
      <c r="C236" t="s">
        <v>786</v>
      </c>
      <c r="D236" t="s">
        <v>787</v>
      </c>
      <c r="E236" t="str">
        <f>"NL00740021061"</f>
        <v>NL00740021061</v>
      </c>
      <c r="F236" s="1">
        <v>43445</v>
      </c>
      <c r="G236" s="1">
        <v>45271</v>
      </c>
    </row>
    <row r="237" spans="1:7" x14ac:dyDescent="0.25">
      <c r="A237" t="s">
        <v>788</v>
      </c>
      <c r="B237" t="s">
        <v>789</v>
      </c>
      <c r="C237" t="s">
        <v>790</v>
      </c>
      <c r="D237" t="s">
        <v>791</v>
      </c>
      <c r="E237" t="str">
        <f>"NL00740012032"</f>
        <v>NL00740012032</v>
      </c>
      <c r="F237" s="1">
        <v>42418</v>
      </c>
      <c r="G237" s="1">
        <v>44245</v>
      </c>
    </row>
    <row r="238" spans="1:7" x14ac:dyDescent="0.25">
      <c r="A238" t="s">
        <v>792</v>
      </c>
      <c r="B238" t="s">
        <v>793</v>
      </c>
      <c r="C238" t="s">
        <v>794</v>
      </c>
      <c r="D238" t="s">
        <v>43</v>
      </c>
      <c r="E238" t="str">
        <f>"NL00740324001"</f>
        <v>NL00740324001</v>
      </c>
      <c r="F238" s="1">
        <v>41712</v>
      </c>
      <c r="G238" s="1">
        <v>45349</v>
      </c>
    </row>
    <row r="239" spans="1:7" x14ac:dyDescent="0.25">
      <c r="A239" t="s">
        <v>795</v>
      </c>
      <c r="B239" t="s">
        <v>796</v>
      </c>
      <c r="C239" t="s">
        <v>797</v>
      </c>
      <c r="D239" t="s">
        <v>66</v>
      </c>
      <c r="E239" t="str">
        <f>"NL00740015561"</f>
        <v>NL00740015561</v>
      </c>
      <c r="F239" s="1">
        <v>42937</v>
      </c>
      <c r="G239" s="1">
        <v>44763</v>
      </c>
    </row>
    <row r="240" spans="1:7" x14ac:dyDescent="0.25">
      <c r="A240" t="s">
        <v>798</v>
      </c>
      <c r="B240" t="s">
        <v>799</v>
      </c>
      <c r="C240" t="s">
        <v>800</v>
      </c>
      <c r="D240" t="s">
        <v>88</v>
      </c>
      <c r="E240" t="str">
        <f>"NL00740022737"</f>
        <v>NL00740022737</v>
      </c>
      <c r="F240" s="1">
        <v>43502</v>
      </c>
      <c r="G240" s="1">
        <v>45328</v>
      </c>
    </row>
    <row r="241" spans="1:7" x14ac:dyDescent="0.25">
      <c r="A241" t="s">
        <v>801</v>
      </c>
      <c r="B241" t="s">
        <v>802</v>
      </c>
      <c r="C241" t="s">
        <v>555</v>
      </c>
      <c r="D241" t="s">
        <v>66</v>
      </c>
      <c r="E241" t="str">
        <f>"NL00740316833"</f>
        <v>NL00740316833</v>
      </c>
      <c r="F241" s="1">
        <v>41486</v>
      </c>
      <c r="G241" s="1">
        <v>45077</v>
      </c>
    </row>
    <row r="242" spans="1:7" x14ac:dyDescent="0.25">
      <c r="A242" t="s">
        <v>803</v>
      </c>
      <c r="B242" t="s">
        <v>804</v>
      </c>
      <c r="C242" t="s">
        <v>805</v>
      </c>
      <c r="D242" t="s">
        <v>43</v>
      </c>
      <c r="E242" t="str">
        <f>"NL00740018041"</f>
        <v>NL00740018041</v>
      </c>
      <c r="F242" s="1">
        <v>43273</v>
      </c>
      <c r="G242" s="1">
        <v>45099</v>
      </c>
    </row>
    <row r="243" spans="1:7" x14ac:dyDescent="0.25">
      <c r="A243" t="s">
        <v>806</v>
      </c>
      <c r="B243" t="s">
        <v>807</v>
      </c>
      <c r="C243" t="s">
        <v>808</v>
      </c>
      <c r="D243" t="s">
        <v>809</v>
      </c>
      <c r="E243" t="str">
        <f>"NL00740325201"</f>
        <v>NL00740325201</v>
      </c>
      <c r="F243" s="1">
        <v>41713</v>
      </c>
      <c r="G243" s="1">
        <v>45349</v>
      </c>
    </row>
    <row r="244" spans="1:7" x14ac:dyDescent="0.25">
      <c r="A244" t="s">
        <v>810</v>
      </c>
      <c r="B244" t="s">
        <v>811</v>
      </c>
      <c r="C244" t="s">
        <v>812</v>
      </c>
      <c r="D244" t="s">
        <v>813</v>
      </c>
      <c r="E244" t="str">
        <f>"NL00740005046"</f>
        <v>NL00740005046</v>
      </c>
      <c r="F244" s="1">
        <v>41228</v>
      </c>
      <c r="G244" s="1">
        <v>44796</v>
      </c>
    </row>
    <row r="245" spans="1:7" x14ac:dyDescent="0.25">
      <c r="A245" t="s">
        <v>814</v>
      </c>
      <c r="B245" t="s">
        <v>815</v>
      </c>
      <c r="C245" t="s">
        <v>816</v>
      </c>
      <c r="D245" t="s">
        <v>817</v>
      </c>
      <c r="E245" t="str">
        <f>"NL00700022958"</f>
        <v>NL00700022958</v>
      </c>
      <c r="F245" s="1">
        <v>43508</v>
      </c>
      <c r="G245" s="1">
        <v>45334</v>
      </c>
    </row>
    <row r="246" spans="1:7" x14ac:dyDescent="0.25">
      <c r="A246" t="s">
        <v>818</v>
      </c>
      <c r="B246" t="s">
        <v>819</v>
      </c>
      <c r="C246" t="s">
        <v>820</v>
      </c>
      <c r="D246" t="s">
        <v>66</v>
      </c>
      <c r="E246" t="str">
        <f>"NL00740025433"</f>
        <v>NL00740025433</v>
      </c>
      <c r="F246" s="1">
        <v>43727</v>
      </c>
      <c r="G246" s="1">
        <v>45554</v>
      </c>
    </row>
    <row r="247" spans="1:7" x14ac:dyDescent="0.25">
      <c r="A247" t="s">
        <v>821</v>
      </c>
      <c r="B247" t="s">
        <v>822</v>
      </c>
      <c r="C247" t="s">
        <v>823</v>
      </c>
      <c r="D247" t="s">
        <v>66</v>
      </c>
      <c r="E247" t="str">
        <f>"NL00740002728"</f>
        <v>NL00740002728</v>
      </c>
      <c r="F247" s="1">
        <v>41000</v>
      </c>
      <c r="G247" s="1">
        <v>44599</v>
      </c>
    </row>
    <row r="248" spans="1:7" x14ac:dyDescent="0.25">
      <c r="A248" t="s">
        <v>824</v>
      </c>
      <c r="B248" t="s">
        <v>825</v>
      </c>
      <c r="C248" t="s">
        <v>826</v>
      </c>
      <c r="D248" t="s">
        <v>827</v>
      </c>
      <c r="E248" t="str">
        <f>"NL00740017545"</f>
        <v>NL00740017545</v>
      </c>
      <c r="F248" s="1">
        <v>43215</v>
      </c>
      <c r="G248" s="1">
        <v>45041</v>
      </c>
    </row>
    <row r="249" spans="1:7" x14ac:dyDescent="0.25">
      <c r="A249" t="s">
        <v>828</v>
      </c>
      <c r="B249" t="s">
        <v>829</v>
      </c>
      <c r="C249" t="s">
        <v>830</v>
      </c>
      <c r="D249" t="s">
        <v>831</v>
      </c>
      <c r="E249" t="str">
        <f>"NL00740018239"</f>
        <v>NL00740018239</v>
      </c>
      <c r="F249" s="1">
        <v>43293</v>
      </c>
      <c r="G249" s="1">
        <v>45119</v>
      </c>
    </row>
    <row r="250" spans="1:7" x14ac:dyDescent="0.25">
      <c r="A250" t="s">
        <v>832</v>
      </c>
      <c r="B250" t="s">
        <v>833</v>
      </c>
      <c r="C250" t="s">
        <v>834</v>
      </c>
      <c r="D250" t="s">
        <v>84</v>
      </c>
      <c r="E250" t="str">
        <f>"NL00740018340"</f>
        <v>NL00740018340</v>
      </c>
      <c r="F250" s="1">
        <v>43305</v>
      </c>
      <c r="G250" s="1">
        <v>45131</v>
      </c>
    </row>
    <row r="251" spans="1:7" x14ac:dyDescent="0.25">
      <c r="A251" t="s">
        <v>835</v>
      </c>
      <c r="B251" t="s">
        <v>836</v>
      </c>
      <c r="C251" t="s">
        <v>837</v>
      </c>
      <c r="D251" t="s">
        <v>838</v>
      </c>
      <c r="E251" t="str">
        <f>"NL00740015159"</f>
        <v>NL00740015159</v>
      </c>
      <c r="F251" s="1">
        <v>42908</v>
      </c>
      <c r="G251" s="1">
        <v>44733</v>
      </c>
    </row>
    <row r="252" spans="1:7" x14ac:dyDescent="0.25">
      <c r="A252" t="s">
        <v>839</v>
      </c>
      <c r="B252" t="s">
        <v>840</v>
      </c>
      <c r="C252" t="s">
        <v>841</v>
      </c>
      <c r="D252" t="s">
        <v>10</v>
      </c>
      <c r="E252" t="str">
        <f>"NL00740025237"</f>
        <v>NL00740025237</v>
      </c>
      <c r="F252" s="1">
        <v>43693</v>
      </c>
      <c r="G252" s="1">
        <v>45520</v>
      </c>
    </row>
    <row r="253" spans="1:7" x14ac:dyDescent="0.25">
      <c r="A253" t="s">
        <v>842</v>
      </c>
      <c r="B253" t="s">
        <v>843</v>
      </c>
      <c r="C253" t="s">
        <v>844</v>
      </c>
      <c r="D253" t="s">
        <v>10</v>
      </c>
      <c r="E253" t="str">
        <f>"NL00740020381"</f>
        <v>NL00740020381</v>
      </c>
      <c r="F253" s="1">
        <v>43425</v>
      </c>
      <c r="G253" s="1">
        <v>45251</v>
      </c>
    </row>
    <row r="254" spans="1:7" x14ac:dyDescent="0.25">
      <c r="A254" t="s">
        <v>845</v>
      </c>
      <c r="B254" t="s">
        <v>846</v>
      </c>
      <c r="C254" t="s">
        <v>847</v>
      </c>
      <c r="D254" t="s">
        <v>140</v>
      </c>
      <c r="E254" t="str">
        <f>"NL00740026076"</f>
        <v>NL00740026076</v>
      </c>
      <c r="F254" s="1">
        <v>43796</v>
      </c>
      <c r="G254" s="1">
        <v>45623</v>
      </c>
    </row>
    <row r="255" spans="1:7" x14ac:dyDescent="0.25">
      <c r="A255" t="s">
        <v>848</v>
      </c>
      <c r="B255" t="s">
        <v>849</v>
      </c>
      <c r="C255" t="s">
        <v>850</v>
      </c>
      <c r="D255" t="s">
        <v>126</v>
      </c>
      <c r="E255" t="str">
        <f>"NL00740025136"</f>
        <v>NL00740025136</v>
      </c>
      <c r="F255" s="1">
        <v>43684</v>
      </c>
      <c r="G255" s="1">
        <v>45511</v>
      </c>
    </row>
    <row r="256" spans="1:7" x14ac:dyDescent="0.25">
      <c r="A256" t="s">
        <v>851</v>
      </c>
      <c r="C256" t="s">
        <v>852</v>
      </c>
      <c r="D256" t="s">
        <v>780</v>
      </c>
      <c r="E256" t="str">
        <f>"NL04960000873"</f>
        <v>NL04960000873</v>
      </c>
      <c r="F256" s="1">
        <v>39744</v>
      </c>
    </row>
    <row r="257" spans="1:7" x14ac:dyDescent="0.25">
      <c r="A257" t="s">
        <v>853</v>
      </c>
      <c r="B257" t="s">
        <v>854</v>
      </c>
      <c r="C257" t="s">
        <v>855</v>
      </c>
      <c r="D257" t="s">
        <v>856</v>
      </c>
      <c r="E257" t="str">
        <f>"NL00740008272"</f>
        <v>NL00740008272</v>
      </c>
      <c r="F257" s="1">
        <v>42059</v>
      </c>
      <c r="G257" s="1">
        <v>45582</v>
      </c>
    </row>
    <row r="258" spans="1:7" x14ac:dyDescent="0.25">
      <c r="A258" t="s">
        <v>857</v>
      </c>
      <c r="B258" t="s">
        <v>858</v>
      </c>
      <c r="C258" t="s">
        <v>701</v>
      </c>
      <c r="D258" t="s">
        <v>253</v>
      </c>
      <c r="E258" t="str">
        <f>"NL00740027043"</f>
        <v>NL00740027043</v>
      </c>
      <c r="F258" s="1">
        <v>43959</v>
      </c>
      <c r="G258" s="1">
        <v>45785</v>
      </c>
    </row>
    <row r="259" spans="1:7" x14ac:dyDescent="0.25">
      <c r="A259" t="s">
        <v>859</v>
      </c>
      <c r="B259" t="s">
        <v>860</v>
      </c>
      <c r="C259" t="s">
        <v>861</v>
      </c>
      <c r="D259" t="s">
        <v>238</v>
      </c>
      <c r="E259" t="str">
        <f>"NL00740016110"</f>
        <v>NL00740016110</v>
      </c>
      <c r="F259" s="1">
        <v>43032</v>
      </c>
      <c r="G259" s="1">
        <v>44858</v>
      </c>
    </row>
    <row r="260" spans="1:7" x14ac:dyDescent="0.25">
      <c r="A260" t="s">
        <v>862</v>
      </c>
      <c r="B260" t="s">
        <v>863</v>
      </c>
      <c r="C260" t="s">
        <v>864</v>
      </c>
      <c r="D260" t="s">
        <v>520</v>
      </c>
      <c r="E260" t="str">
        <f>"NL00740027141"</f>
        <v>NL00740027141</v>
      </c>
      <c r="F260" s="1">
        <v>43984</v>
      </c>
    </row>
    <row r="261" spans="1:7" x14ac:dyDescent="0.25">
      <c r="A261" t="s">
        <v>865</v>
      </c>
      <c r="B261" t="s">
        <v>866</v>
      </c>
      <c r="C261" t="s">
        <v>867</v>
      </c>
      <c r="D261" t="s">
        <v>39</v>
      </c>
      <c r="E261" t="str">
        <f>"NL00740010445"</f>
        <v>NL00740010445</v>
      </c>
      <c r="F261" s="1">
        <v>42418</v>
      </c>
      <c r="G261" s="1">
        <v>44245</v>
      </c>
    </row>
    <row r="262" spans="1:7" x14ac:dyDescent="0.25">
      <c r="A262" t="s">
        <v>868</v>
      </c>
      <c r="B262" t="s">
        <v>869</v>
      </c>
      <c r="C262" t="s">
        <v>870</v>
      </c>
      <c r="D262" t="s">
        <v>871</v>
      </c>
      <c r="E262" t="str">
        <f>"NL00740015764"</f>
        <v>NL00740015764</v>
      </c>
      <c r="F262" s="1">
        <v>42975</v>
      </c>
      <c r="G262" s="1">
        <v>44801</v>
      </c>
    </row>
    <row r="263" spans="1:7" x14ac:dyDescent="0.25">
      <c r="A263" t="s">
        <v>872</v>
      </c>
      <c r="B263" t="s">
        <v>873</v>
      </c>
      <c r="C263" t="s">
        <v>874</v>
      </c>
      <c r="D263" t="s">
        <v>875</v>
      </c>
      <c r="E263" t="str">
        <f>"NL00740023428"</f>
        <v>NL00740023428</v>
      </c>
      <c r="F263" s="1">
        <v>43517</v>
      </c>
      <c r="G263" s="1">
        <v>45343</v>
      </c>
    </row>
    <row r="264" spans="1:7" x14ac:dyDescent="0.25">
      <c r="A264" t="s">
        <v>876</v>
      </c>
      <c r="B264" t="s">
        <v>877</v>
      </c>
      <c r="C264" t="s">
        <v>878</v>
      </c>
      <c r="D264" t="s">
        <v>879</v>
      </c>
      <c r="E264" t="str">
        <f>"NL00740016214"</f>
        <v>NL00740016214</v>
      </c>
      <c r="F264" s="1">
        <v>43045</v>
      </c>
    </row>
    <row r="265" spans="1:7" x14ac:dyDescent="0.25">
      <c r="A265" t="s">
        <v>880</v>
      </c>
      <c r="B265" t="s">
        <v>881</v>
      </c>
      <c r="C265" t="s">
        <v>882</v>
      </c>
      <c r="D265" t="s">
        <v>52</v>
      </c>
      <c r="E265" t="str">
        <f>"NL00740004431"</f>
        <v>NL00740004431</v>
      </c>
      <c r="F265" s="1">
        <v>41153</v>
      </c>
      <c r="G265" s="1">
        <v>44718</v>
      </c>
    </row>
    <row r="266" spans="1:7" x14ac:dyDescent="0.25">
      <c r="A266" t="s">
        <v>883</v>
      </c>
      <c r="B266" t="s">
        <v>884</v>
      </c>
      <c r="C266" t="s">
        <v>885</v>
      </c>
      <c r="D266" t="s">
        <v>10</v>
      </c>
      <c r="E266" t="str">
        <f>"NL00740009084"</f>
        <v>NL00740009084</v>
      </c>
      <c r="F266" s="1">
        <v>42184</v>
      </c>
      <c r="G266" s="1">
        <v>45706</v>
      </c>
    </row>
    <row r="267" spans="1:7" x14ac:dyDescent="0.25">
      <c r="A267" t="s">
        <v>886</v>
      </c>
      <c r="B267" t="s">
        <v>887</v>
      </c>
      <c r="C267" t="s">
        <v>42</v>
      </c>
      <c r="D267" t="s">
        <v>43</v>
      </c>
      <c r="E267" t="str">
        <f>"NL00740025453"</f>
        <v>NL00740025453</v>
      </c>
      <c r="F267" s="1">
        <v>43734</v>
      </c>
      <c r="G267" s="1">
        <v>45561</v>
      </c>
    </row>
    <row r="268" spans="1:7" x14ac:dyDescent="0.25">
      <c r="A268" t="s">
        <v>888</v>
      </c>
      <c r="B268" t="s">
        <v>889</v>
      </c>
      <c r="C268" t="s">
        <v>890</v>
      </c>
      <c r="D268" t="s">
        <v>260</v>
      </c>
      <c r="E268" t="str">
        <f>"NL00740026303"</f>
        <v>NL00740026303</v>
      </c>
      <c r="F268" s="1">
        <v>43844</v>
      </c>
      <c r="G268" s="1">
        <v>45671</v>
      </c>
    </row>
    <row r="269" spans="1:7" x14ac:dyDescent="0.25">
      <c r="A269" t="s">
        <v>891</v>
      </c>
      <c r="B269" t="s">
        <v>892</v>
      </c>
      <c r="C269" t="s">
        <v>893</v>
      </c>
      <c r="D269" t="s">
        <v>894</v>
      </c>
      <c r="E269" t="str">
        <f>"NL00740002115"</f>
        <v>NL00740002115</v>
      </c>
      <c r="F269" s="1">
        <v>40909</v>
      </c>
      <c r="G269" s="1">
        <v>44510</v>
      </c>
    </row>
    <row r="270" spans="1:7" x14ac:dyDescent="0.25">
      <c r="A270" t="s">
        <v>895</v>
      </c>
      <c r="B270" t="s">
        <v>896</v>
      </c>
      <c r="C270" t="s">
        <v>897</v>
      </c>
      <c r="D270" t="s">
        <v>84</v>
      </c>
      <c r="E270" t="str">
        <f>"NL00740016220"</f>
        <v>NL00740016220</v>
      </c>
      <c r="F270" s="1">
        <v>43046</v>
      </c>
      <c r="G270" s="1">
        <v>44872</v>
      </c>
    </row>
    <row r="271" spans="1:7" x14ac:dyDescent="0.25">
      <c r="A271" t="s">
        <v>898</v>
      </c>
      <c r="B271" t="s">
        <v>899</v>
      </c>
      <c r="C271" t="s">
        <v>900</v>
      </c>
      <c r="D271" t="s">
        <v>52</v>
      </c>
      <c r="E271" t="str">
        <f>"NL00740317393"</f>
        <v>NL00740317393</v>
      </c>
      <c r="F271" s="1">
        <v>41532</v>
      </c>
      <c r="G271" s="1">
        <v>45153</v>
      </c>
    </row>
    <row r="272" spans="1:7" x14ac:dyDescent="0.25">
      <c r="A272" t="s">
        <v>901</v>
      </c>
      <c r="B272" t="s">
        <v>902</v>
      </c>
      <c r="C272" t="s">
        <v>903</v>
      </c>
      <c r="D272" t="s">
        <v>43</v>
      </c>
      <c r="E272" t="str">
        <f>"NL00740027818"</f>
        <v>NL00740027818</v>
      </c>
      <c r="F272" s="1">
        <v>44110</v>
      </c>
      <c r="G272" s="1">
        <v>45936</v>
      </c>
    </row>
    <row r="273" spans="1:7" x14ac:dyDescent="0.25">
      <c r="A273" t="s">
        <v>904</v>
      </c>
      <c r="C273" t="s">
        <v>905</v>
      </c>
      <c r="D273" t="s">
        <v>73</v>
      </c>
      <c r="E273" t="str">
        <f>"NL00740323252"</f>
        <v>NL00740323252</v>
      </c>
      <c r="F273" s="1">
        <v>41697</v>
      </c>
      <c r="G273" s="1">
        <v>45244</v>
      </c>
    </row>
    <row r="274" spans="1:7" x14ac:dyDescent="0.25">
      <c r="A274" t="s">
        <v>906</v>
      </c>
      <c r="B274" t="s">
        <v>907</v>
      </c>
      <c r="C274" t="s">
        <v>908</v>
      </c>
      <c r="D274" t="s">
        <v>449</v>
      </c>
      <c r="E274" t="str">
        <f>"NL00740026077"</f>
        <v>NL00740026077</v>
      </c>
      <c r="F274" s="1">
        <v>43797</v>
      </c>
      <c r="G274" s="1">
        <v>45623</v>
      </c>
    </row>
    <row r="275" spans="1:7" x14ac:dyDescent="0.25">
      <c r="A275" t="s">
        <v>909</v>
      </c>
      <c r="C275" t="s">
        <v>910</v>
      </c>
      <c r="D275" t="s">
        <v>157</v>
      </c>
      <c r="E275" t="str">
        <f>"NL00740014375"</f>
        <v>NL00740014375</v>
      </c>
      <c r="F275" s="1">
        <v>42759</v>
      </c>
      <c r="G275" s="1">
        <v>44585</v>
      </c>
    </row>
    <row r="276" spans="1:7" x14ac:dyDescent="0.25">
      <c r="A276" t="s">
        <v>911</v>
      </c>
      <c r="B276" t="s">
        <v>912</v>
      </c>
      <c r="C276" t="s">
        <v>913</v>
      </c>
      <c r="D276" t="s">
        <v>914</v>
      </c>
      <c r="E276" t="str">
        <f>"NL00740018621"</f>
        <v>NL00740018621</v>
      </c>
      <c r="F276" s="1">
        <v>43340</v>
      </c>
      <c r="G276" s="1">
        <v>45166</v>
      </c>
    </row>
    <row r="277" spans="1:7" x14ac:dyDescent="0.25">
      <c r="A277" t="s">
        <v>915</v>
      </c>
      <c r="B277" t="s">
        <v>916</v>
      </c>
      <c r="C277" t="s">
        <v>917</v>
      </c>
      <c r="D277" t="s">
        <v>918</v>
      </c>
      <c r="E277" t="str">
        <f>"NL00740024607"</f>
        <v>NL00740024607</v>
      </c>
      <c r="F277" s="1">
        <v>43601</v>
      </c>
      <c r="G277" s="1">
        <v>45428</v>
      </c>
    </row>
    <row r="278" spans="1:7" x14ac:dyDescent="0.25">
      <c r="A278" t="s">
        <v>919</v>
      </c>
      <c r="B278" t="s">
        <v>920</v>
      </c>
      <c r="C278" t="s">
        <v>921</v>
      </c>
      <c r="D278" t="s">
        <v>52</v>
      </c>
      <c r="E278" t="str">
        <f>"NL00740316500"</f>
        <v>NL00740316500</v>
      </c>
      <c r="F278" s="1">
        <v>41466</v>
      </c>
      <c r="G278" s="1">
        <v>45077</v>
      </c>
    </row>
    <row r="279" spans="1:7" x14ac:dyDescent="0.25">
      <c r="A279" t="s">
        <v>922</v>
      </c>
      <c r="B279" t="s">
        <v>923</v>
      </c>
      <c r="C279" t="s">
        <v>924</v>
      </c>
      <c r="D279" t="s">
        <v>925</v>
      </c>
      <c r="E279" t="str">
        <f>"NL00740015257"</f>
        <v>NL00740015257</v>
      </c>
      <c r="F279" s="1">
        <v>42893</v>
      </c>
      <c r="G279" s="1">
        <v>44719</v>
      </c>
    </row>
    <row r="280" spans="1:7" x14ac:dyDescent="0.25">
      <c r="A280" t="s">
        <v>926</v>
      </c>
      <c r="B280" t="s">
        <v>927</v>
      </c>
      <c r="C280" t="s">
        <v>928</v>
      </c>
      <c r="D280" t="s">
        <v>88</v>
      </c>
      <c r="E280" t="str">
        <f>"NL00740010531"</f>
        <v>NL00740010531</v>
      </c>
      <c r="F280" s="1">
        <v>42416</v>
      </c>
      <c r="G280" s="1">
        <v>44243</v>
      </c>
    </row>
    <row r="281" spans="1:7" x14ac:dyDescent="0.25">
      <c r="A281" t="s">
        <v>929</v>
      </c>
      <c r="B281" t="s">
        <v>930</v>
      </c>
      <c r="C281" t="s">
        <v>931</v>
      </c>
      <c r="D281" t="s">
        <v>43</v>
      </c>
      <c r="E281" t="str">
        <f>"NL00740002342"</f>
        <v>NL00740002342</v>
      </c>
      <c r="F281" s="1">
        <v>40940</v>
      </c>
      <c r="G281" s="1">
        <v>44516</v>
      </c>
    </row>
    <row r="282" spans="1:7" x14ac:dyDescent="0.25">
      <c r="A282" t="s">
        <v>932</v>
      </c>
      <c r="B282" t="s">
        <v>933</v>
      </c>
      <c r="C282" t="s">
        <v>934</v>
      </c>
      <c r="D282" t="s">
        <v>39</v>
      </c>
      <c r="E282" t="str">
        <f>"NL00740003107"</f>
        <v>NL00740003107</v>
      </c>
      <c r="F282" s="1">
        <v>41030</v>
      </c>
      <c r="G282" s="1">
        <v>44655</v>
      </c>
    </row>
    <row r="283" spans="1:7" x14ac:dyDescent="0.25">
      <c r="A283" t="s">
        <v>935</v>
      </c>
      <c r="B283" t="s">
        <v>936</v>
      </c>
      <c r="C283" t="s">
        <v>937</v>
      </c>
      <c r="D283" t="s">
        <v>449</v>
      </c>
      <c r="E283" t="str">
        <f>"NL00740014990"</f>
        <v>NL00740014990</v>
      </c>
      <c r="F283" s="1">
        <v>42851</v>
      </c>
      <c r="G283" s="1">
        <v>44676</v>
      </c>
    </row>
    <row r="284" spans="1:7" x14ac:dyDescent="0.25">
      <c r="A284" t="s">
        <v>938</v>
      </c>
      <c r="C284" t="s">
        <v>939</v>
      </c>
      <c r="D284" t="s">
        <v>43</v>
      </c>
      <c r="E284" t="str">
        <f>"NL00740017911"</f>
        <v>NL00740017911</v>
      </c>
      <c r="F284" s="1">
        <v>43262</v>
      </c>
      <c r="G284" s="1">
        <v>45083</v>
      </c>
    </row>
    <row r="285" spans="1:7" x14ac:dyDescent="0.25">
      <c r="A285" t="s">
        <v>940</v>
      </c>
      <c r="B285" t="s">
        <v>941</v>
      </c>
      <c r="C285" t="s">
        <v>942</v>
      </c>
      <c r="D285" t="s">
        <v>943</v>
      </c>
      <c r="E285" t="str">
        <f>"NL00740015892"</f>
        <v>NL00740015892</v>
      </c>
      <c r="F285" s="1">
        <v>42993</v>
      </c>
      <c r="G285" s="1">
        <v>44819</v>
      </c>
    </row>
    <row r="286" spans="1:7" x14ac:dyDescent="0.25">
      <c r="A286" t="s">
        <v>944</v>
      </c>
      <c r="B286" t="s">
        <v>945</v>
      </c>
      <c r="C286" t="s">
        <v>946</v>
      </c>
      <c r="D286" t="s">
        <v>275</v>
      </c>
      <c r="E286" t="str">
        <f>"NL00740022896"</f>
        <v>NL00740022896</v>
      </c>
      <c r="F286" s="1">
        <v>43504</v>
      </c>
      <c r="G286" s="1">
        <v>45330</v>
      </c>
    </row>
    <row r="287" spans="1:7" x14ac:dyDescent="0.25">
      <c r="A287" t="s">
        <v>947</v>
      </c>
      <c r="B287" t="s">
        <v>948</v>
      </c>
      <c r="C287" t="s">
        <v>949</v>
      </c>
      <c r="D287" t="s">
        <v>568</v>
      </c>
      <c r="E287" t="str">
        <f>"NL00740009322"</f>
        <v>NL00740009322</v>
      </c>
      <c r="F287" s="1">
        <v>42221</v>
      </c>
      <c r="G287" s="1">
        <v>45790</v>
      </c>
    </row>
    <row r="288" spans="1:7" x14ac:dyDescent="0.25">
      <c r="A288" t="s">
        <v>950</v>
      </c>
      <c r="B288" t="s">
        <v>951</v>
      </c>
      <c r="C288" t="s">
        <v>952</v>
      </c>
      <c r="D288" t="s">
        <v>221</v>
      </c>
      <c r="E288" t="str">
        <f>"NL00740018862"</f>
        <v>NL00740018862</v>
      </c>
      <c r="F288" s="1">
        <v>43370</v>
      </c>
      <c r="G288" s="1">
        <v>45196</v>
      </c>
    </row>
    <row r="289" spans="1:7" x14ac:dyDescent="0.25">
      <c r="A289" t="s">
        <v>953</v>
      </c>
      <c r="B289" t="s">
        <v>954</v>
      </c>
      <c r="C289" t="s">
        <v>955</v>
      </c>
      <c r="D289" t="s">
        <v>52</v>
      </c>
      <c r="E289" t="str">
        <f>"NL00740012522"</f>
        <v>NL00740012522</v>
      </c>
      <c r="F289" s="1">
        <v>42478</v>
      </c>
      <c r="G289" s="1">
        <v>44304</v>
      </c>
    </row>
    <row r="290" spans="1:7" x14ac:dyDescent="0.25">
      <c r="A290" t="s">
        <v>956</v>
      </c>
      <c r="B290" t="s">
        <v>957</v>
      </c>
      <c r="C290" t="s">
        <v>958</v>
      </c>
      <c r="D290" t="s">
        <v>126</v>
      </c>
      <c r="E290" t="str">
        <f>"NL00740015414"</f>
        <v>NL00740015414</v>
      </c>
      <c r="F290" s="1">
        <v>42920</v>
      </c>
      <c r="G290" s="1">
        <v>44746</v>
      </c>
    </row>
    <row r="291" spans="1:7" x14ac:dyDescent="0.25">
      <c r="A291" t="s">
        <v>959</v>
      </c>
      <c r="B291" t="s">
        <v>960</v>
      </c>
      <c r="C291" t="s">
        <v>961</v>
      </c>
      <c r="D291" t="s">
        <v>148</v>
      </c>
      <c r="E291" t="str">
        <f>"NL00740015079"</f>
        <v>NL00740015079</v>
      </c>
      <c r="F291" s="1">
        <v>42864</v>
      </c>
      <c r="G291" s="1">
        <v>44690</v>
      </c>
    </row>
    <row r="292" spans="1:7" x14ac:dyDescent="0.25">
      <c r="A292" t="s">
        <v>962</v>
      </c>
      <c r="B292" t="s">
        <v>963</v>
      </c>
      <c r="C292" t="s">
        <v>964</v>
      </c>
      <c r="D292" t="s">
        <v>856</v>
      </c>
      <c r="E292" t="str">
        <f>"NL00740009730"</f>
        <v>NL00740009730</v>
      </c>
      <c r="F292" s="1">
        <v>42296</v>
      </c>
      <c r="G292" s="1">
        <v>44123</v>
      </c>
    </row>
    <row r="293" spans="1:7" x14ac:dyDescent="0.25">
      <c r="A293" t="s">
        <v>965</v>
      </c>
      <c r="B293" t="s">
        <v>966</v>
      </c>
      <c r="C293" t="s">
        <v>967</v>
      </c>
      <c r="D293" t="s">
        <v>968</v>
      </c>
      <c r="E293" t="str">
        <f>"NL00740012235"</f>
        <v>NL00740012235</v>
      </c>
      <c r="F293" s="1">
        <v>42452</v>
      </c>
      <c r="G293" s="1">
        <v>44273</v>
      </c>
    </row>
    <row r="294" spans="1:7" x14ac:dyDescent="0.25">
      <c r="A294" t="s">
        <v>969</v>
      </c>
      <c r="B294" t="s">
        <v>970</v>
      </c>
      <c r="C294" t="s">
        <v>971</v>
      </c>
      <c r="D294" t="s">
        <v>478</v>
      </c>
      <c r="E294" t="str">
        <f>"NL00740015504"</f>
        <v>NL00740015504</v>
      </c>
      <c r="F294" s="1">
        <v>42929</v>
      </c>
      <c r="G294" s="1">
        <v>44755</v>
      </c>
    </row>
    <row r="295" spans="1:7" x14ac:dyDescent="0.25">
      <c r="A295" t="s">
        <v>972</v>
      </c>
      <c r="B295" t="s">
        <v>973</v>
      </c>
      <c r="C295" t="s">
        <v>974</v>
      </c>
      <c r="D295" t="s">
        <v>975</v>
      </c>
      <c r="E295" t="str">
        <f>"NL00740009655"</f>
        <v>NL00740009655</v>
      </c>
      <c r="F295" s="1">
        <v>42284</v>
      </c>
      <c r="G295" s="1">
        <v>45931</v>
      </c>
    </row>
    <row r="296" spans="1:7" x14ac:dyDescent="0.25">
      <c r="A296" t="s">
        <v>976</v>
      </c>
      <c r="B296" t="s">
        <v>977</v>
      </c>
      <c r="C296" t="s">
        <v>978</v>
      </c>
      <c r="D296" t="s">
        <v>324</v>
      </c>
      <c r="E296" t="str">
        <f>"NL00740014830"</f>
        <v>NL00740014830</v>
      </c>
      <c r="F296" s="1">
        <v>42825</v>
      </c>
      <c r="G296" s="1">
        <v>44651</v>
      </c>
    </row>
    <row r="297" spans="1:7" x14ac:dyDescent="0.25">
      <c r="A297" t="s">
        <v>979</v>
      </c>
      <c r="B297" t="s">
        <v>980</v>
      </c>
      <c r="C297" t="s">
        <v>981</v>
      </c>
      <c r="D297" t="s">
        <v>10</v>
      </c>
      <c r="E297" t="str">
        <f>"NL00740016910"</f>
        <v>NL00740016910</v>
      </c>
      <c r="F297" s="1">
        <v>43143</v>
      </c>
      <c r="G297" s="1">
        <v>44966</v>
      </c>
    </row>
    <row r="298" spans="1:7" x14ac:dyDescent="0.25">
      <c r="A298" t="s">
        <v>982</v>
      </c>
      <c r="B298" t="s">
        <v>983</v>
      </c>
      <c r="C298" t="s">
        <v>984</v>
      </c>
      <c r="D298" t="s">
        <v>985</v>
      </c>
      <c r="E298" t="str">
        <f>"NL00740025295"</f>
        <v>NL00740025295</v>
      </c>
      <c r="F298" s="1">
        <v>43705</v>
      </c>
      <c r="G298" s="1">
        <v>45532</v>
      </c>
    </row>
    <row r="299" spans="1:7" x14ac:dyDescent="0.25">
      <c r="A299" t="s">
        <v>986</v>
      </c>
      <c r="B299" t="s">
        <v>987</v>
      </c>
      <c r="C299" t="s">
        <v>988</v>
      </c>
      <c r="D299" t="s">
        <v>52</v>
      </c>
      <c r="E299" t="str">
        <f>"NL00740008563"</f>
        <v>NL00740008563</v>
      </c>
      <c r="F299" s="1">
        <v>42095</v>
      </c>
      <c r="G299" s="1">
        <v>45706</v>
      </c>
    </row>
    <row r="300" spans="1:7" x14ac:dyDescent="0.25">
      <c r="A300" t="s">
        <v>989</v>
      </c>
      <c r="B300" t="s">
        <v>990</v>
      </c>
      <c r="C300" t="s">
        <v>991</v>
      </c>
      <c r="D300" t="s">
        <v>126</v>
      </c>
      <c r="E300" t="str">
        <f>"NL00740025331"</f>
        <v>NL00740025331</v>
      </c>
      <c r="F300" s="1">
        <v>43711</v>
      </c>
      <c r="G300" s="1">
        <v>45538</v>
      </c>
    </row>
    <row r="301" spans="1:7" x14ac:dyDescent="0.25">
      <c r="A301" t="s">
        <v>992</v>
      </c>
      <c r="B301" t="s">
        <v>993</v>
      </c>
      <c r="C301" t="s">
        <v>994</v>
      </c>
      <c r="D301" t="s">
        <v>761</v>
      </c>
      <c r="E301" t="str">
        <f>"NL00740015133"</f>
        <v>NL00740015133</v>
      </c>
      <c r="F301" s="1">
        <v>42872</v>
      </c>
      <c r="G301" s="1">
        <v>44698</v>
      </c>
    </row>
    <row r="302" spans="1:7" x14ac:dyDescent="0.25">
      <c r="A302" t="s">
        <v>995</v>
      </c>
      <c r="B302" t="s">
        <v>996</v>
      </c>
      <c r="C302" t="s">
        <v>99</v>
      </c>
      <c r="D302" t="s">
        <v>52</v>
      </c>
      <c r="E302" t="str">
        <f>"NL00740008767"</f>
        <v>NL00740008767</v>
      </c>
      <c r="F302" s="1">
        <v>42135</v>
      </c>
      <c r="G302" s="1">
        <v>45715</v>
      </c>
    </row>
    <row r="303" spans="1:7" x14ac:dyDescent="0.25">
      <c r="A303" t="s">
        <v>997</v>
      </c>
      <c r="B303" t="s">
        <v>998</v>
      </c>
      <c r="C303" t="s">
        <v>999</v>
      </c>
      <c r="D303" t="s">
        <v>14</v>
      </c>
      <c r="E303" t="str">
        <f>"NL00740004043"</f>
        <v>NL00740004043</v>
      </c>
      <c r="F303" s="1">
        <v>41091</v>
      </c>
      <c r="G303" s="1">
        <v>44720</v>
      </c>
    </row>
    <row r="304" spans="1:7" x14ac:dyDescent="0.25">
      <c r="A304" t="s">
        <v>1000</v>
      </c>
      <c r="B304" t="s">
        <v>1001</v>
      </c>
      <c r="C304" t="s">
        <v>1002</v>
      </c>
      <c r="D304" t="s">
        <v>47</v>
      </c>
      <c r="E304" t="str">
        <f>"NL00740024866"</f>
        <v>NL00740024866</v>
      </c>
      <c r="F304" s="1">
        <v>43647</v>
      </c>
      <c r="G304" s="1">
        <v>45471</v>
      </c>
    </row>
    <row r="305" spans="1:7" x14ac:dyDescent="0.25">
      <c r="A305" t="s">
        <v>1003</v>
      </c>
      <c r="B305" t="s">
        <v>1004</v>
      </c>
      <c r="C305" t="s">
        <v>1005</v>
      </c>
      <c r="D305" t="s">
        <v>43</v>
      </c>
      <c r="E305" t="str">
        <f>"NL00740024964"</f>
        <v>NL00740024964</v>
      </c>
      <c r="F305" s="1">
        <v>43657</v>
      </c>
      <c r="G305" s="1">
        <v>45484</v>
      </c>
    </row>
    <row r="306" spans="1:7" x14ac:dyDescent="0.25">
      <c r="A306" t="s">
        <v>1006</v>
      </c>
      <c r="B306" t="s">
        <v>1007</v>
      </c>
      <c r="C306" t="s">
        <v>1008</v>
      </c>
      <c r="D306" t="s">
        <v>609</v>
      </c>
      <c r="E306" t="str">
        <f>"NL00740317746"</f>
        <v>NL00740317746</v>
      </c>
      <c r="F306" s="1">
        <v>41585</v>
      </c>
      <c r="G306" s="1">
        <v>45145</v>
      </c>
    </row>
    <row r="307" spans="1:7" x14ac:dyDescent="0.25">
      <c r="A307" t="s">
        <v>1009</v>
      </c>
      <c r="B307" t="s">
        <v>1010</v>
      </c>
      <c r="C307" t="s">
        <v>1011</v>
      </c>
      <c r="D307" t="s">
        <v>43</v>
      </c>
      <c r="E307" t="str">
        <f>"NL00740016259"</f>
        <v>NL00740016259</v>
      </c>
      <c r="F307" s="1">
        <v>43049</v>
      </c>
      <c r="G307" s="1">
        <v>44875</v>
      </c>
    </row>
    <row r="308" spans="1:7" x14ac:dyDescent="0.25">
      <c r="A308" t="s">
        <v>1012</v>
      </c>
      <c r="B308" t="s">
        <v>1013</v>
      </c>
      <c r="C308" t="s">
        <v>1014</v>
      </c>
      <c r="D308" t="s">
        <v>66</v>
      </c>
      <c r="E308" t="str">
        <f>"NL00740012483"</f>
        <v>NL00740012483</v>
      </c>
      <c r="F308" s="1">
        <v>42473</v>
      </c>
      <c r="G308" s="1">
        <v>44298</v>
      </c>
    </row>
    <row r="309" spans="1:7" x14ac:dyDescent="0.25">
      <c r="A309" t="s">
        <v>1015</v>
      </c>
      <c r="B309" t="s">
        <v>1016</v>
      </c>
      <c r="C309" t="s">
        <v>51</v>
      </c>
      <c r="D309" t="s">
        <v>52</v>
      </c>
      <c r="E309" t="str">
        <f>"NL00740019271"</f>
        <v>NL00740019271</v>
      </c>
      <c r="F309" s="1">
        <v>43396</v>
      </c>
      <c r="G309" s="1">
        <v>45222</v>
      </c>
    </row>
    <row r="310" spans="1:7" x14ac:dyDescent="0.25">
      <c r="A310" t="s">
        <v>1017</v>
      </c>
      <c r="C310" t="s">
        <v>1018</v>
      </c>
      <c r="D310" t="s">
        <v>1019</v>
      </c>
      <c r="E310" t="str">
        <f>"NL00740015564"</f>
        <v>NL00740015564</v>
      </c>
      <c r="F310" s="1">
        <v>42940</v>
      </c>
      <c r="G310" s="1">
        <v>44766</v>
      </c>
    </row>
    <row r="311" spans="1:7" x14ac:dyDescent="0.25">
      <c r="A311" t="s">
        <v>1020</v>
      </c>
      <c r="B311" t="s">
        <v>1021</v>
      </c>
      <c r="C311" t="s">
        <v>1022</v>
      </c>
      <c r="D311" t="s">
        <v>10</v>
      </c>
      <c r="E311" t="str">
        <f>"NL00740007235"</f>
        <v>NL00740007235</v>
      </c>
      <c r="F311" s="1">
        <v>41899</v>
      </c>
      <c r="G311" s="1">
        <v>45552</v>
      </c>
    </row>
    <row r="312" spans="1:7" x14ac:dyDescent="0.25">
      <c r="A312" t="s">
        <v>1023</v>
      </c>
      <c r="B312" t="s">
        <v>1024</v>
      </c>
      <c r="C312" t="s">
        <v>1025</v>
      </c>
      <c r="D312" t="s">
        <v>43</v>
      </c>
      <c r="E312" t="str">
        <f>"NL00740026126"</f>
        <v>NL00740026126</v>
      </c>
      <c r="F312" s="1">
        <v>43805</v>
      </c>
      <c r="G312" s="1">
        <v>45631</v>
      </c>
    </row>
    <row r="313" spans="1:7" x14ac:dyDescent="0.25">
      <c r="A313" t="s">
        <v>1026</v>
      </c>
      <c r="B313" t="s">
        <v>1027</v>
      </c>
      <c r="C313" t="s">
        <v>1028</v>
      </c>
      <c r="D313" t="s">
        <v>1029</v>
      </c>
      <c r="E313" t="str">
        <f>"NL00740024886"</f>
        <v>NL00740024886</v>
      </c>
      <c r="F313" s="1">
        <v>43649</v>
      </c>
      <c r="G313" s="1">
        <v>45475</v>
      </c>
    </row>
    <row r="314" spans="1:7" x14ac:dyDescent="0.25">
      <c r="A314" t="s">
        <v>1030</v>
      </c>
      <c r="B314" t="s">
        <v>1031</v>
      </c>
      <c r="C314" t="s">
        <v>1032</v>
      </c>
      <c r="D314" t="s">
        <v>253</v>
      </c>
      <c r="E314" t="str">
        <f>"NL00740319354"</f>
        <v>NL00740319354</v>
      </c>
      <c r="F314" s="1">
        <v>41652</v>
      </c>
      <c r="G314" s="1">
        <v>45278</v>
      </c>
    </row>
    <row r="315" spans="1:7" x14ac:dyDescent="0.25">
      <c r="A315" t="s">
        <v>1033</v>
      </c>
      <c r="B315" t="s">
        <v>1034</v>
      </c>
      <c r="C315" t="s">
        <v>1035</v>
      </c>
      <c r="D315" t="s">
        <v>10</v>
      </c>
      <c r="E315" t="str">
        <f>"NL00740002621"</f>
        <v>NL00740002621</v>
      </c>
      <c r="F315" s="1">
        <v>40983</v>
      </c>
      <c r="G315" s="1">
        <v>44580</v>
      </c>
    </row>
    <row r="316" spans="1:7" x14ac:dyDescent="0.25">
      <c r="A316" t="s">
        <v>1036</v>
      </c>
      <c r="B316" t="s">
        <v>1037</v>
      </c>
      <c r="C316" t="s">
        <v>1038</v>
      </c>
      <c r="D316" t="s">
        <v>1039</v>
      </c>
      <c r="E316" t="str">
        <f>"NL00740027137"</f>
        <v>NL00740027137</v>
      </c>
      <c r="F316" s="1">
        <v>43980</v>
      </c>
    </row>
    <row r="317" spans="1:7" x14ac:dyDescent="0.25">
      <c r="A317" t="s">
        <v>1040</v>
      </c>
      <c r="B317" t="s">
        <v>1041</v>
      </c>
      <c r="C317" t="s">
        <v>592</v>
      </c>
      <c r="D317" t="s">
        <v>126</v>
      </c>
      <c r="E317" t="str">
        <f>"NL00740013308"</f>
        <v>NL00740013308</v>
      </c>
      <c r="F317" s="1">
        <v>42594</v>
      </c>
      <c r="G317" s="1">
        <v>44420</v>
      </c>
    </row>
    <row r="318" spans="1:7" x14ac:dyDescent="0.25">
      <c r="A318" t="s">
        <v>1042</v>
      </c>
      <c r="B318" t="s">
        <v>1043</v>
      </c>
      <c r="C318" t="s">
        <v>99</v>
      </c>
      <c r="D318" t="s">
        <v>52</v>
      </c>
      <c r="E318" t="str">
        <f>"NL00740025983"</f>
        <v>NL00740025983</v>
      </c>
      <c r="F318" s="1">
        <v>43782</v>
      </c>
      <c r="G318" s="1">
        <v>45609</v>
      </c>
    </row>
    <row r="319" spans="1:7" x14ac:dyDescent="0.25">
      <c r="A319" t="s">
        <v>1044</v>
      </c>
      <c r="C319" t="s">
        <v>1045</v>
      </c>
      <c r="D319" t="s">
        <v>1046</v>
      </c>
      <c r="E319" t="str">
        <f>"NL00740015729"</f>
        <v>NL00740015729</v>
      </c>
      <c r="F319" s="1">
        <v>42964</v>
      </c>
      <c r="G319" s="1">
        <v>44790</v>
      </c>
    </row>
    <row r="320" spans="1:7" x14ac:dyDescent="0.25">
      <c r="A320" t="s">
        <v>1047</v>
      </c>
      <c r="B320" t="s">
        <v>1048</v>
      </c>
      <c r="C320" t="s">
        <v>1049</v>
      </c>
      <c r="D320" t="s">
        <v>1050</v>
      </c>
      <c r="E320" t="str">
        <f>"NL00740017031"</f>
        <v>NL00740017031</v>
      </c>
      <c r="F320" s="1">
        <v>43159</v>
      </c>
      <c r="G320" s="1">
        <v>44985</v>
      </c>
    </row>
    <row r="321" spans="1:7" x14ac:dyDescent="0.25">
      <c r="A321" t="s">
        <v>1051</v>
      </c>
      <c r="B321" t="s">
        <v>1052</v>
      </c>
      <c r="C321" t="s">
        <v>1053</v>
      </c>
      <c r="D321" t="s">
        <v>1054</v>
      </c>
      <c r="E321" t="str">
        <f>"NL00740006765"</f>
        <v>NL00740006765</v>
      </c>
      <c r="F321" s="1">
        <v>41828</v>
      </c>
      <c r="G321" s="1">
        <v>45471</v>
      </c>
    </row>
    <row r="322" spans="1:7" x14ac:dyDescent="0.25">
      <c r="A322" t="s">
        <v>1055</v>
      </c>
      <c r="B322" t="s">
        <v>1056</v>
      </c>
      <c r="C322" t="s">
        <v>369</v>
      </c>
      <c r="D322" t="s">
        <v>370</v>
      </c>
      <c r="E322" t="str">
        <f>"NL00740024867"</f>
        <v>NL00740024867</v>
      </c>
      <c r="F322" s="1">
        <v>43647</v>
      </c>
      <c r="G322" s="1">
        <v>45471</v>
      </c>
    </row>
    <row r="323" spans="1:7" x14ac:dyDescent="0.25">
      <c r="A323" t="s">
        <v>1057</v>
      </c>
      <c r="B323" t="s">
        <v>1058</v>
      </c>
      <c r="C323" t="s">
        <v>1059</v>
      </c>
      <c r="D323" t="s">
        <v>1060</v>
      </c>
      <c r="E323" t="str">
        <f>"NL00740009147"</f>
        <v>NL00740009147</v>
      </c>
      <c r="F323" s="1">
        <v>42194</v>
      </c>
      <c r="G323" s="1">
        <v>45783</v>
      </c>
    </row>
    <row r="324" spans="1:7" x14ac:dyDescent="0.25">
      <c r="A324" t="s">
        <v>1061</v>
      </c>
      <c r="B324" t="s">
        <v>1062</v>
      </c>
      <c r="C324" t="s">
        <v>1063</v>
      </c>
      <c r="D324" t="s">
        <v>1064</v>
      </c>
      <c r="E324" t="str">
        <f>"NL00740015417"</f>
        <v>NL00740015417</v>
      </c>
      <c r="F324" s="1">
        <v>42920</v>
      </c>
      <c r="G324" s="1">
        <v>44746</v>
      </c>
    </row>
    <row r="325" spans="1:7" x14ac:dyDescent="0.25">
      <c r="A325" t="s">
        <v>1065</v>
      </c>
      <c r="B325" t="s">
        <v>1066</v>
      </c>
      <c r="C325" t="s">
        <v>1067</v>
      </c>
      <c r="D325" t="s">
        <v>126</v>
      </c>
      <c r="E325" t="str">
        <f>"NL00740015054"</f>
        <v>NL00740015054</v>
      </c>
      <c r="F325" s="1">
        <v>42864</v>
      </c>
      <c r="G325" s="1">
        <v>44685</v>
      </c>
    </row>
    <row r="326" spans="1:7" x14ac:dyDescent="0.25">
      <c r="A326" t="s">
        <v>1068</v>
      </c>
      <c r="B326" t="s">
        <v>1069</v>
      </c>
      <c r="C326" t="s">
        <v>1070</v>
      </c>
      <c r="D326" t="s">
        <v>1071</v>
      </c>
      <c r="E326" t="str">
        <f>"NL00740004509"</f>
        <v>NL00740004509</v>
      </c>
      <c r="F326" s="1">
        <v>41153</v>
      </c>
      <c r="G326" s="1">
        <v>44752</v>
      </c>
    </row>
    <row r="327" spans="1:7" x14ac:dyDescent="0.25">
      <c r="A327" t="s">
        <v>1072</v>
      </c>
      <c r="B327" t="s">
        <v>751</v>
      </c>
      <c r="C327" t="s">
        <v>752</v>
      </c>
      <c r="D327" t="s">
        <v>753</v>
      </c>
      <c r="E327" t="str">
        <f>"NL00740027846"</f>
        <v>NL00740027846</v>
      </c>
      <c r="F327" s="1">
        <v>44113</v>
      </c>
      <c r="G327" s="1">
        <v>45939</v>
      </c>
    </row>
    <row r="328" spans="1:7" x14ac:dyDescent="0.25">
      <c r="A328" t="s">
        <v>1073</v>
      </c>
      <c r="B328" t="s">
        <v>1074</v>
      </c>
      <c r="C328" t="s">
        <v>1075</v>
      </c>
      <c r="D328" t="s">
        <v>1076</v>
      </c>
      <c r="E328" t="str">
        <f>"NL00740010444"</f>
        <v>NL00740010444</v>
      </c>
      <c r="F328" s="1">
        <v>42418</v>
      </c>
      <c r="G328" s="1">
        <v>44245</v>
      </c>
    </row>
    <row r="329" spans="1:7" x14ac:dyDescent="0.25">
      <c r="A329" t="s">
        <v>1077</v>
      </c>
      <c r="B329" t="s">
        <v>1078</v>
      </c>
      <c r="C329" t="s">
        <v>1079</v>
      </c>
      <c r="D329" t="s">
        <v>457</v>
      </c>
      <c r="E329" t="str">
        <f>"NL00740009819"</f>
        <v>NL00740009819</v>
      </c>
      <c r="F329" s="1">
        <v>42310</v>
      </c>
      <c r="G329" s="1">
        <v>44137</v>
      </c>
    </row>
    <row r="330" spans="1:7" x14ac:dyDescent="0.25">
      <c r="A330" t="s">
        <v>1080</v>
      </c>
      <c r="B330" t="s">
        <v>1081</v>
      </c>
      <c r="C330" t="s">
        <v>1082</v>
      </c>
      <c r="D330" t="s">
        <v>39</v>
      </c>
      <c r="E330" t="str">
        <f>"NL00740027136"</f>
        <v>NL00740027136</v>
      </c>
      <c r="F330" s="1">
        <v>43980</v>
      </c>
      <c r="G330" s="1">
        <v>45805</v>
      </c>
    </row>
    <row r="331" spans="1:7" x14ac:dyDescent="0.25">
      <c r="A331" t="s">
        <v>1083</v>
      </c>
      <c r="B331" t="s">
        <v>1084</v>
      </c>
      <c r="C331" t="s">
        <v>1085</v>
      </c>
      <c r="D331" t="s">
        <v>66</v>
      </c>
      <c r="E331" t="str">
        <f>"NL00740025276"</f>
        <v>NL00740025276</v>
      </c>
      <c r="F331" s="1">
        <v>43703</v>
      </c>
      <c r="G331" s="1">
        <v>45527</v>
      </c>
    </row>
    <row r="332" spans="1:7" x14ac:dyDescent="0.25">
      <c r="A332" t="s">
        <v>1086</v>
      </c>
      <c r="B332" t="s">
        <v>1087</v>
      </c>
      <c r="C332" t="s">
        <v>1088</v>
      </c>
      <c r="D332" t="s">
        <v>609</v>
      </c>
      <c r="E332" t="str">
        <f>"NL00740021995"</f>
        <v>NL00740021995</v>
      </c>
      <c r="F332" s="1">
        <v>43481</v>
      </c>
      <c r="G332" s="1">
        <v>45307</v>
      </c>
    </row>
    <row r="333" spans="1:7" x14ac:dyDescent="0.25">
      <c r="A333" t="s">
        <v>1089</v>
      </c>
      <c r="B333" t="s">
        <v>1090</v>
      </c>
      <c r="C333" t="s">
        <v>42</v>
      </c>
      <c r="D333" t="s">
        <v>43</v>
      </c>
      <c r="E333" t="str">
        <f>"NL00740327301"</f>
        <v>NL00740327301</v>
      </c>
      <c r="F333" s="1">
        <v>41774</v>
      </c>
      <c r="G333" s="1">
        <v>45369</v>
      </c>
    </row>
    <row r="334" spans="1:7" x14ac:dyDescent="0.25">
      <c r="A334" t="s">
        <v>1091</v>
      </c>
      <c r="C334" t="s">
        <v>1092</v>
      </c>
      <c r="D334" t="s">
        <v>238</v>
      </c>
      <c r="E334" t="str">
        <f>"NL00740010530"</f>
        <v>NL00740010530</v>
      </c>
      <c r="F334" s="1">
        <v>42416</v>
      </c>
      <c r="G334" s="1">
        <v>44243</v>
      </c>
    </row>
    <row r="335" spans="1:7" x14ac:dyDescent="0.25">
      <c r="A335" t="s">
        <v>1093</v>
      </c>
      <c r="B335" t="s">
        <v>1094</v>
      </c>
      <c r="C335" t="s">
        <v>1095</v>
      </c>
      <c r="D335" t="s">
        <v>1096</v>
      </c>
      <c r="E335" t="str">
        <f>"NL00740015652"</f>
        <v>NL00740015652</v>
      </c>
      <c r="F335" s="1">
        <v>42948</v>
      </c>
      <c r="G335" s="1">
        <v>44774</v>
      </c>
    </row>
    <row r="336" spans="1:7" x14ac:dyDescent="0.25">
      <c r="A336" t="s">
        <v>1097</v>
      </c>
      <c r="B336" t="s">
        <v>1098</v>
      </c>
      <c r="C336" t="s">
        <v>1099</v>
      </c>
      <c r="D336" t="s">
        <v>66</v>
      </c>
      <c r="E336" t="str">
        <f>"NL00740026127"</f>
        <v>NL00740026127</v>
      </c>
      <c r="F336" s="1">
        <v>43875</v>
      </c>
      <c r="G336" s="1">
        <v>45702</v>
      </c>
    </row>
    <row r="337" spans="1:7" x14ac:dyDescent="0.25">
      <c r="A337" t="s">
        <v>1100</v>
      </c>
      <c r="B337" t="s">
        <v>1101</v>
      </c>
      <c r="C337" t="s">
        <v>1102</v>
      </c>
      <c r="D337" t="s">
        <v>47</v>
      </c>
      <c r="E337" t="str">
        <f>"NL00740017100"</f>
        <v>NL00740017100</v>
      </c>
      <c r="F337" s="1">
        <v>43166</v>
      </c>
      <c r="G337" s="1">
        <v>44992</v>
      </c>
    </row>
    <row r="338" spans="1:7" x14ac:dyDescent="0.25">
      <c r="A338" t="s">
        <v>1103</v>
      </c>
      <c r="B338" t="s">
        <v>1104</v>
      </c>
      <c r="C338" t="s">
        <v>1105</v>
      </c>
      <c r="D338" t="s">
        <v>43</v>
      </c>
      <c r="E338" t="str">
        <f>"NL00740027671"</f>
        <v>NL00740027671</v>
      </c>
      <c r="F338" s="1">
        <v>44092</v>
      </c>
      <c r="G338" s="1">
        <v>45918</v>
      </c>
    </row>
    <row r="339" spans="1:7" x14ac:dyDescent="0.25">
      <c r="A339" t="s">
        <v>1106</v>
      </c>
      <c r="B339" t="s">
        <v>1107</v>
      </c>
      <c r="C339" t="s">
        <v>1108</v>
      </c>
      <c r="D339" t="s">
        <v>66</v>
      </c>
      <c r="E339" t="str">
        <f>"NL00740015830"</f>
        <v>NL00740015830</v>
      </c>
      <c r="F339" s="1">
        <v>42985</v>
      </c>
      <c r="G339" s="1">
        <v>44811</v>
      </c>
    </row>
    <row r="340" spans="1:7" x14ac:dyDescent="0.25">
      <c r="A340" t="s">
        <v>1109</v>
      </c>
      <c r="B340" t="s">
        <v>1110</v>
      </c>
      <c r="C340" t="s">
        <v>1111</v>
      </c>
      <c r="D340" t="s">
        <v>1112</v>
      </c>
      <c r="E340" t="str">
        <f>"NL00740024533"</f>
        <v>NL00740024533</v>
      </c>
      <c r="F340" s="1">
        <v>43593</v>
      </c>
      <c r="G340" s="1">
        <v>45420</v>
      </c>
    </row>
    <row r="341" spans="1:7" x14ac:dyDescent="0.25">
      <c r="A341" t="s">
        <v>1113</v>
      </c>
      <c r="B341" t="s">
        <v>1114</v>
      </c>
      <c r="C341" t="s">
        <v>1115</v>
      </c>
      <c r="D341" t="s">
        <v>1116</v>
      </c>
      <c r="E341" t="str">
        <f>"NL00740025481"</f>
        <v>NL00740025481</v>
      </c>
      <c r="F341" s="1">
        <v>43741</v>
      </c>
      <c r="G341" s="1">
        <v>45568</v>
      </c>
    </row>
    <row r="342" spans="1:7" x14ac:dyDescent="0.25">
      <c r="A342" t="s">
        <v>1117</v>
      </c>
      <c r="B342" t="s">
        <v>1118</v>
      </c>
      <c r="C342" t="s">
        <v>1119</v>
      </c>
      <c r="D342" t="s">
        <v>148</v>
      </c>
      <c r="E342" t="str">
        <f>"NL00740018588"</f>
        <v>NL00740018588</v>
      </c>
      <c r="F342" s="1">
        <v>43334</v>
      </c>
      <c r="G342" s="1">
        <v>45160</v>
      </c>
    </row>
    <row r="343" spans="1:7" x14ac:dyDescent="0.25">
      <c r="A343" t="s">
        <v>1120</v>
      </c>
      <c r="B343" t="s">
        <v>1121</v>
      </c>
      <c r="C343" t="s">
        <v>900</v>
      </c>
      <c r="D343" t="s">
        <v>52</v>
      </c>
      <c r="E343" t="str">
        <f>"NL00740002963"</f>
        <v>NL00740002963</v>
      </c>
      <c r="F343" s="1">
        <v>41014</v>
      </c>
      <c r="G343" s="1">
        <v>44657</v>
      </c>
    </row>
    <row r="344" spans="1:7" x14ac:dyDescent="0.25">
      <c r="A344" t="s">
        <v>1122</v>
      </c>
      <c r="B344" t="s">
        <v>1123</v>
      </c>
      <c r="C344" t="s">
        <v>1124</v>
      </c>
      <c r="D344" t="s">
        <v>1125</v>
      </c>
      <c r="E344" t="str">
        <f>"NL00740015161"</f>
        <v>NL00740015161</v>
      </c>
      <c r="F344" s="1">
        <v>42878</v>
      </c>
      <c r="G344" s="1">
        <v>44703</v>
      </c>
    </row>
    <row r="345" spans="1:7" x14ac:dyDescent="0.25">
      <c r="A345" t="s">
        <v>1126</v>
      </c>
      <c r="B345" t="s">
        <v>1127</v>
      </c>
      <c r="C345" t="s">
        <v>1128</v>
      </c>
      <c r="D345" t="s">
        <v>148</v>
      </c>
      <c r="E345" t="str">
        <f>"NL00740010261"</f>
        <v>NL00740010261</v>
      </c>
      <c r="F345" s="1">
        <v>42383</v>
      </c>
      <c r="G345" s="1">
        <v>44210</v>
      </c>
    </row>
    <row r="346" spans="1:7" x14ac:dyDescent="0.25">
      <c r="A346" t="s">
        <v>1129</v>
      </c>
      <c r="B346" t="s">
        <v>1130</v>
      </c>
      <c r="C346" t="s">
        <v>1131</v>
      </c>
      <c r="D346" t="s">
        <v>765</v>
      </c>
      <c r="E346" t="str">
        <f>"NL00740013477"</f>
        <v>NL00740013477</v>
      </c>
      <c r="F346" s="1">
        <v>42711</v>
      </c>
    </row>
    <row r="347" spans="1:7" x14ac:dyDescent="0.25">
      <c r="A347" t="s">
        <v>1132</v>
      </c>
      <c r="B347" t="s">
        <v>1133</v>
      </c>
      <c r="C347" t="s">
        <v>1134</v>
      </c>
      <c r="D347" t="s">
        <v>1054</v>
      </c>
      <c r="E347" t="str">
        <f>"NL00740004374"</f>
        <v>NL00740004374</v>
      </c>
      <c r="F347" s="1">
        <v>41136</v>
      </c>
      <c r="G347" s="1">
        <v>44711</v>
      </c>
    </row>
    <row r="348" spans="1:7" x14ac:dyDescent="0.25">
      <c r="A348" t="s">
        <v>1135</v>
      </c>
      <c r="B348" t="s">
        <v>1136</v>
      </c>
      <c r="C348" t="s">
        <v>1137</v>
      </c>
      <c r="D348" t="s">
        <v>66</v>
      </c>
      <c r="E348" t="str">
        <f>"NL00740018550"</f>
        <v>NL00740018550</v>
      </c>
      <c r="F348" s="1">
        <v>43329</v>
      </c>
      <c r="G348" s="1">
        <v>45155</v>
      </c>
    </row>
    <row r="349" spans="1:7" x14ac:dyDescent="0.25">
      <c r="A349" t="s">
        <v>1138</v>
      </c>
      <c r="B349" t="s">
        <v>1139</v>
      </c>
      <c r="C349" t="s">
        <v>1140</v>
      </c>
      <c r="D349" t="s">
        <v>1141</v>
      </c>
      <c r="E349" t="str">
        <f>"NL00740015052"</f>
        <v>NL00740015052</v>
      </c>
      <c r="F349" s="1">
        <v>42864</v>
      </c>
      <c r="G349" s="1">
        <v>44685</v>
      </c>
    </row>
    <row r="350" spans="1:7" x14ac:dyDescent="0.25">
      <c r="A350" t="s">
        <v>1142</v>
      </c>
      <c r="B350" t="s">
        <v>1143</v>
      </c>
      <c r="C350" t="s">
        <v>1144</v>
      </c>
      <c r="D350" t="s">
        <v>478</v>
      </c>
      <c r="E350" t="str">
        <f>"NL00740024148"</f>
        <v>NL00740024148</v>
      </c>
      <c r="F350" s="1">
        <v>43557</v>
      </c>
      <c r="G350" s="1">
        <v>45384</v>
      </c>
    </row>
    <row r="351" spans="1:7" x14ac:dyDescent="0.25">
      <c r="A351" t="s">
        <v>1145</v>
      </c>
      <c r="C351" t="s">
        <v>491</v>
      </c>
      <c r="D351" t="s">
        <v>43</v>
      </c>
      <c r="E351" t="str">
        <f>"NL00740017874"</f>
        <v>NL00740017874</v>
      </c>
      <c r="F351" s="1">
        <v>43255</v>
      </c>
      <c r="G351" s="1">
        <v>45081</v>
      </c>
    </row>
    <row r="352" spans="1:7" x14ac:dyDescent="0.25">
      <c r="A352" t="s">
        <v>1146</v>
      </c>
      <c r="B352" t="s">
        <v>1147</v>
      </c>
      <c r="C352" t="s">
        <v>1148</v>
      </c>
      <c r="D352" t="s">
        <v>1149</v>
      </c>
      <c r="E352" t="str">
        <f>"NL00740006969"</f>
        <v>NL00740006969</v>
      </c>
      <c r="F352" s="1">
        <v>41855</v>
      </c>
      <c r="G352" s="1">
        <v>45457</v>
      </c>
    </row>
    <row r="353" spans="1:7" x14ac:dyDescent="0.25">
      <c r="A353" t="s">
        <v>1150</v>
      </c>
      <c r="C353" t="s">
        <v>1151</v>
      </c>
      <c r="D353" t="s">
        <v>1152</v>
      </c>
      <c r="E353" t="str">
        <f>"NL00740024320"</f>
        <v>NL00740024320</v>
      </c>
      <c r="F353" s="1">
        <v>43571</v>
      </c>
      <c r="G353" s="1">
        <v>45398</v>
      </c>
    </row>
    <row r="354" spans="1:7" x14ac:dyDescent="0.25">
      <c r="A354" t="s">
        <v>1153</v>
      </c>
      <c r="B354" t="s">
        <v>1154</v>
      </c>
      <c r="C354" t="s">
        <v>1155</v>
      </c>
      <c r="D354" t="s">
        <v>126</v>
      </c>
      <c r="E354" t="str">
        <f>"NL00740014361"</f>
        <v>NL00740014361</v>
      </c>
      <c r="F354" s="1">
        <v>42755</v>
      </c>
      <c r="G354" s="1">
        <v>44581</v>
      </c>
    </row>
    <row r="355" spans="1:7" x14ac:dyDescent="0.25">
      <c r="A355" t="s">
        <v>1156</v>
      </c>
      <c r="B355" t="s">
        <v>1157</v>
      </c>
      <c r="C355" t="s">
        <v>657</v>
      </c>
      <c r="D355" t="s">
        <v>66</v>
      </c>
      <c r="E355" t="str">
        <f>"NL00740018761"</f>
        <v>NL00740018761</v>
      </c>
      <c r="F355" s="1">
        <v>43357</v>
      </c>
      <c r="G355" s="1">
        <v>45183</v>
      </c>
    </row>
    <row r="356" spans="1:7" x14ac:dyDescent="0.25">
      <c r="A356" t="s">
        <v>1158</v>
      </c>
      <c r="B356" t="s">
        <v>302</v>
      </c>
      <c r="C356" t="s">
        <v>303</v>
      </c>
      <c r="D356" t="s">
        <v>167</v>
      </c>
      <c r="E356" t="str">
        <f>"NL00740018049"</f>
        <v>NL00740018049</v>
      </c>
      <c r="F356" s="1">
        <v>43273</v>
      </c>
      <c r="G356" s="1">
        <v>45099</v>
      </c>
    </row>
    <row r="357" spans="1:7" x14ac:dyDescent="0.25">
      <c r="A357" t="s">
        <v>1159</v>
      </c>
      <c r="B357" t="s">
        <v>1160</v>
      </c>
      <c r="C357" t="s">
        <v>1161</v>
      </c>
      <c r="D357" t="s">
        <v>10</v>
      </c>
      <c r="E357" t="str">
        <f>"NL00740014301"</f>
        <v>NL00740014301</v>
      </c>
      <c r="F357" s="1">
        <v>42752</v>
      </c>
      <c r="G357" s="1">
        <v>44577</v>
      </c>
    </row>
    <row r="358" spans="1:7" x14ac:dyDescent="0.25">
      <c r="A358" t="s">
        <v>1162</v>
      </c>
      <c r="B358" t="s">
        <v>1163</v>
      </c>
      <c r="C358" t="s">
        <v>1164</v>
      </c>
      <c r="D358" t="s">
        <v>180</v>
      </c>
      <c r="E358" t="str">
        <f>"NL00740024656"</f>
        <v>NL00740024656</v>
      </c>
      <c r="F358" s="1">
        <v>43607</v>
      </c>
      <c r="G358" s="1">
        <v>45434</v>
      </c>
    </row>
    <row r="359" spans="1:7" x14ac:dyDescent="0.25">
      <c r="A359" t="s">
        <v>1165</v>
      </c>
      <c r="B359" t="s">
        <v>1166</v>
      </c>
      <c r="C359" t="s">
        <v>882</v>
      </c>
      <c r="D359" t="s">
        <v>52</v>
      </c>
      <c r="E359" t="str">
        <f>"NL00740025382"</f>
        <v>NL00740025382</v>
      </c>
      <c r="F359" s="1">
        <v>43719</v>
      </c>
      <c r="G359" s="1">
        <v>45546</v>
      </c>
    </row>
    <row r="360" spans="1:7" x14ac:dyDescent="0.25">
      <c r="A360" t="s">
        <v>1167</v>
      </c>
      <c r="B360" t="s">
        <v>1168</v>
      </c>
      <c r="C360" t="s">
        <v>1169</v>
      </c>
      <c r="D360" t="s">
        <v>43</v>
      </c>
      <c r="E360" t="str">
        <f>"NL00740002224"</f>
        <v>NL00740002224</v>
      </c>
      <c r="F360" s="1">
        <v>40909</v>
      </c>
      <c r="G360" s="1">
        <v>44523</v>
      </c>
    </row>
    <row r="361" spans="1:7" x14ac:dyDescent="0.25">
      <c r="A361" t="s">
        <v>1170</v>
      </c>
      <c r="B361" t="s">
        <v>1171</v>
      </c>
      <c r="C361" t="s">
        <v>1172</v>
      </c>
      <c r="D361" t="s">
        <v>197</v>
      </c>
      <c r="E361" t="str">
        <f>"NL00740001931"</f>
        <v>NL00740001931</v>
      </c>
      <c r="F361" s="1">
        <v>40892</v>
      </c>
      <c r="G361" s="1">
        <v>44377</v>
      </c>
    </row>
    <row r="362" spans="1:7" x14ac:dyDescent="0.25">
      <c r="A362" t="s">
        <v>1173</v>
      </c>
      <c r="B362" t="s">
        <v>64</v>
      </c>
      <c r="C362" t="s">
        <v>65</v>
      </c>
      <c r="D362" t="s">
        <v>66</v>
      </c>
      <c r="E362" t="str">
        <f>"NL00740008496"</f>
        <v>NL00740008496</v>
      </c>
      <c r="F362" s="1">
        <v>42088</v>
      </c>
      <c r="G362" s="1">
        <v>45733</v>
      </c>
    </row>
    <row r="363" spans="1:7" x14ac:dyDescent="0.25">
      <c r="A363" t="s">
        <v>1174</v>
      </c>
      <c r="B363" t="s">
        <v>1175</v>
      </c>
      <c r="C363" t="s">
        <v>1176</v>
      </c>
      <c r="D363" t="s">
        <v>1177</v>
      </c>
      <c r="E363" t="str">
        <f>"NL00740013202"</f>
        <v>NL00740013202</v>
      </c>
      <c r="F363" s="1">
        <v>42584</v>
      </c>
      <c r="G363" s="1">
        <v>44410</v>
      </c>
    </row>
    <row r="364" spans="1:7" x14ac:dyDescent="0.25">
      <c r="A364" t="s">
        <v>1178</v>
      </c>
      <c r="B364" t="s">
        <v>1179</v>
      </c>
      <c r="C364" t="s">
        <v>1180</v>
      </c>
      <c r="D364" t="s">
        <v>1125</v>
      </c>
      <c r="E364" t="str">
        <f>"NL00740016268"</f>
        <v>NL00740016268</v>
      </c>
      <c r="F364" s="1">
        <v>43052</v>
      </c>
      <c r="G364" s="1">
        <v>44878</v>
      </c>
    </row>
    <row r="365" spans="1:7" x14ac:dyDescent="0.25">
      <c r="A365" t="s">
        <v>1181</v>
      </c>
      <c r="C365" t="s">
        <v>1182</v>
      </c>
      <c r="D365" t="s">
        <v>264</v>
      </c>
      <c r="E365" t="str">
        <f>"NL00740001980"</f>
        <v>NL00740001980</v>
      </c>
      <c r="F365" s="1">
        <v>40892</v>
      </c>
      <c r="G365" s="1">
        <v>44376</v>
      </c>
    </row>
    <row r="366" spans="1:7" x14ac:dyDescent="0.25">
      <c r="A366" t="s">
        <v>1183</v>
      </c>
      <c r="B366" t="s">
        <v>1184</v>
      </c>
      <c r="C366" t="s">
        <v>1185</v>
      </c>
      <c r="D366" t="s">
        <v>52</v>
      </c>
      <c r="E366" t="str">
        <f>"NL00740004040"</f>
        <v>NL00740004040</v>
      </c>
      <c r="F366" s="1">
        <v>41099</v>
      </c>
      <c r="G366" s="1">
        <v>44650</v>
      </c>
    </row>
    <row r="367" spans="1:7" x14ac:dyDescent="0.25">
      <c r="A367" t="s">
        <v>1186</v>
      </c>
      <c r="B367" t="s">
        <v>1187</v>
      </c>
      <c r="C367" t="s">
        <v>1005</v>
      </c>
      <c r="D367" t="s">
        <v>43</v>
      </c>
      <c r="E367" t="str">
        <f>"NL00740010153"</f>
        <v>NL00740010153</v>
      </c>
      <c r="F367" s="1">
        <v>42354</v>
      </c>
      <c r="G367" s="1">
        <v>44181</v>
      </c>
    </row>
    <row r="368" spans="1:7" x14ac:dyDescent="0.25">
      <c r="A368" t="s">
        <v>1188</v>
      </c>
      <c r="B368" t="s">
        <v>1189</v>
      </c>
      <c r="C368" t="s">
        <v>1190</v>
      </c>
      <c r="D368" t="s">
        <v>1050</v>
      </c>
      <c r="E368" t="str">
        <f>"NL00740012478"</f>
        <v>NL00740012478</v>
      </c>
      <c r="F368" s="1">
        <v>42472</v>
      </c>
      <c r="G368" s="1">
        <v>44298</v>
      </c>
    </row>
    <row r="369" spans="1:7" x14ac:dyDescent="0.25">
      <c r="A369" t="s">
        <v>1191</v>
      </c>
      <c r="B369" t="s">
        <v>1192</v>
      </c>
      <c r="C369" t="s">
        <v>1193</v>
      </c>
      <c r="D369" t="s">
        <v>441</v>
      </c>
      <c r="E369" t="str">
        <f>"NL00740026965"</f>
        <v>NL00740026965</v>
      </c>
      <c r="F369" s="1">
        <v>43938</v>
      </c>
      <c r="G369" s="1">
        <v>45763</v>
      </c>
    </row>
    <row r="370" spans="1:7" x14ac:dyDescent="0.25">
      <c r="A370" t="s">
        <v>1194</v>
      </c>
      <c r="B370" t="s">
        <v>1195</v>
      </c>
      <c r="C370" t="s">
        <v>1196</v>
      </c>
      <c r="D370" t="s">
        <v>1197</v>
      </c>
      <c r="E370" t="str">
        <f>"NL00740026592"</f>
        <v>NL00740026592</v>
      </c>
      <c r="F370" s="1">
        <v>43880</v>
      </c>
      <c r="G370" s="1">
        <v>45707</v>
      </c>
    </row>
    <row r="371" spans="1:7" x14ac:dyDescent="0.25">
      <c r="A371" t="s">
        <v>1198</v>
      </c>
      <c r="B371" t="s">
        <v>1199</v>
      </c>
      <c r="C371" t="s">
        <v>1200</v>
      </c>
      <c r="D371" t="s">
        <v>1201</v>
      </c>
      <c r="E371" t="str">
        <f>"NL00740015673"</f>
        <v>NL00740015673</v>
      </c>
      <c r="F371" s="1">
        <v>42954</v>
      </c>
      <c r="G371" s="1">
        <v>44780</v>
      </c>
    </row>
    <row r="372" spans="1:7" x14ac:dyDescent="0.25">
      <c r="A372" t="s">
        <v>1202</v>
      </c>
      <c r="B372" t="s">
        <v>1203</v>
      </c>
      <c r="C372" t="s">
        <v>1204</v>
      </c>
      <c r="D372" t="s">
        <v>894</v>
      </c>
      <c r="E372" t="str">
        <f>"NL00740014753"</f>
        <v>NL00740014753</v>
      </c>
      <c r="F372" s="1">
        <v>42822</v>
      </c>
      <c r="G372" s="1">
        <v>44643</v>
      </c>
    </row>
    <row r="373" spans="1:7" x14ac:dyDescent="0.25">
      <c r="A373" t="s">
        <v>1205</v>
      </c>
      <c r="B373" t="s">
        <v>1206</v>
      </c>
      <c r="C373" t="s">
        <v>200</v>
      </c>
      <c r="D373" t="s">
        <v>238</v>
      </c>
      <c r="E373" t="str">
        <f>"NL00740017216"</f>
        <v>NL00740017216</v>
      </c>
      <c r="F373" s="1">
        <v>43181</v>
      </c>
      <c r="G373" s="1">
        <v>45006</v>
      </c>
    </row>
    <row r="374" spans="1:7" x14ac:dyDescent="0.25">
      <c r="A374" t="s">
        <v>1207</v>
      </c>
      <c r="B374" t="s">
        <v>1208</v>
      </c>
      <c r="C374" t="s">
        <v>1209</v>
      </c>
      <c r="D374" t="s">
        <v>1210</v>
      </c>
      <c r="E374" t="str">
        <f>"NL00740015780"</f>
        <v>NL00740015780</v>
      </c>
      <c r="F374" s="1">
        <v>42976</v>
      </c>
      <c r="G374" s="1">
        <v>44802</v>
      </c>
    </row>
    <row r="375" spans="1:7" x14ac:dyDescent="0.25">
      <c r="A375" t="s">
        <v>1211</v>
      </c>
      <c r="B375" t="s">
        <v>1212</v>
      </c>
      <c r="C375" t="s">
        <v>1213</v>
      </c>
      <c r="D375" t="s">
        <v>43</v>
      </c>
      <c r="E375" t="str">
        <f>"NL00740016261"</f>
        <v>NL00740016261</v>
      </c>
      <c r="F375" s="1">
        <v>43049</v>
      </c>
      <c r="G375" s="1">
        <v>44875</v>
      </c>
    </row>
    <row r="376" spans="1:7" x14ac:dyDescent="0.25">
      <c r="A376" t="s">
        <v>1214</v>
      </c>
      <c r="B376" t="s">
        <v>1215</v>
      </c>
      <c r="C376" t="s">
        <v>1216</v>
      </c>
      <c r="D376" t="s">
        <v>31</v>
      </c>
      <c r="E376" t="str">
        <f>"NL05300000235"</f>
        <v>NL05300000235</v>
      </c>
      <c r="F376" s="1">
        <v>39514</v>
      </c>
    </row>
    <row r="377" spans="1:7" x14ac:dyDescent="0.25">
      <c r="A377" t="s">
        <v>1217</v>
      </c>
      <c r="B377" t="s">
        <v>1218</v>
      </c>
      <c r="C377" t="s">
        <v>1219</v>
      </c>
      <c r="D377" t="s">
        <v>14</v>
      </c>
      <c r="E377" t="str">
        <f>"NL00740317529"</f>
        <v>NL00740317529</v>
      </c>
      <c r="F377" s="1">
        <v>41562</v>
      </c>
      <c r="G377" s="1">
        <v>45168</v>
      </c>
    </row>
    <row r="378" spans="1:7" x14ac:dyDescent="0.25">
      <c r="A378" t="s">
        <v>1220</v>
      </c>
      <c r="B378" t="s">
        <v>1221</v>
      </c>
      <c r="C378" t="s">
        <v>8</v>
      </c>
      <c r="D378" t="s">
        <v>43</v>
      </c>
      <c r="E378" t="str">
        <f>"NL00740002360"</f>
        <v>NL00740002360</v>
      </c>
      <c r="F378" s="1">
        <v>40940</v>
      </c>
      <c r="G378" s="1">
        <v>44570</v>
      </c>
    </row>
    <row r="379" spans="1:7" x14ac:dyDescent="0.25">
      <c r="A379" t="s">
        <v>1222</v>
      </c>
      <c r="B379" t="s">
        <v>1223</v>
      </c>
      <c r="C379" t="s">
        <v>952</v>
      </c>
      <c r="D379" t="s">
        <v>221</v>
      </c>
      <c r="E379" t="str">
        <f>"NL00740018525"</f>
        <v>NL00740018525</v>
      </c>
      <c r="F379" s="1">
        <v>43322</v>
      </c>
      <c r="G379" s="1">
        <v>45148</v>
      </c>
    </row>
    <row r="380" spans="1:7" x14ac:dyDescent="0.25">
      <c r="A380" t="s">
        <v>1224</v>
      </c>
      <c r="B380" t="s">
        <v>1225</v>
      </c>
      <c r="C380" t="s">
        <v>1226</v>
      </c>
      <c r="D380" t="s">
        <v>467</v>
      </c>
      <c r="E380" t="str">
        <f>"NL00740326950"</f>
        <v>NL00740326950</v>
      </c>
      <c r="F380" s="1">
        <v>41771</v>
      </c>
      <c r="G380" s="1">
        <v>45379</v>
      </c>
    </row>
    <row r="381" spans="1:7" x14ac:dyDescent="0.25">
      <c r="A381" t="s">
        <v>1227</v>
      </c>
      <c r="B381" t="s">
        <v>1228</v>
      </c>
      <c r="C381" t="s">
        <v>1229</v>
      </c>
      <c r="D381" t="s">
        <v>1230</v>
      </c>
      <c r="E381" t="str">
        <f>"NL00740025036"</f>
        <v>NL00740025036</v>
      </c>
      <c r="F381" s="1">
        <v>43669</v>
      </c>
      <c r="G381" s="1">
        <v>45496</v>
      </c>
    </row>
    <row r="382" spans="1:7" x14ac:dyDescent="0.25">
      <c r="A382" t="s">
        <v>1231</v>
      </c>
      <c r="B382" t="s">
        <v>1232</v>
      </c>
      <c r="C382" t="s">
        <v>1233</v>
      </c>
      <c r="D382" t="s">
        <v>43</v>
      </c>
      <c r="E382" t="str">
        <f>"NL00740007412"</f>
        <v>NL00740007412</v>
      </c>
      <c r="F382" s="1">
        <v>41922</v>
      </c>
    </row>
    <row r="383" spans="1:7" x14ac:dyDescent="0.25">
      <c r="A383" t="s">
        <v>1234</v>
      </c>
      <c r="B383" t="s">
        <v>1235</v>
      </c>
      <c r="C383" t="s">
        <v>1236</v>
      </c>
      <c r="D383" t="s">
        <v>39</v>
      </c>
      <c r="E383" t="str">
        <f>"NL00740027847"</f>
        <v>NL00740027847</v>
      </c>
      <c r="F383" s="1">
        <v>44113</v>
      </c>
      <c r="G383" s="1">
        <v>45939</v>
      </c>
    </row>
    <row r="384" spans="1:7" x14ac:dyDescent="0.25">
      <c r="A384" t="s">
        <v>1237</v>
      </c>
      <c r="B384" t="s">
        <v>1238</v>
      </c>
      <c r="C384" t="s">
        <v>1239</v>
      </c>
      <c r="D384" t="s">
        <v>39</v>
      </c>
      <c r="E384" t="str">
        <f>"NL00740013474"</f>
        <v>NL00740013474</v>
      </c>
      <c r="F384" s="1">
        <v>42655</v>
      </c>
    </row>
    <row r="385" spans="1:7" x14ac:dyDescent="0.25">
      <c r="A385" t="s">
        <v>1240</v>
      </c>
      <c r="B385" t="s">
        <v>1241</v>
      </c>
      <c r="C385" t="s">
        <v>1242</v>
      </c>
      <c r="D385" t="s">
        <v>14</v>
      </c>
      <c r="E385" t="str">
        <f>"NL00740024946"</f>
        <v>NL00740024946</v>
      </c>
      <c r="F385" s="1">
        <v>43656</v>
      </c>
      <c r="G385" s="1">
        <v>45483</v>
      </c>
    </row>
    <row r="386" spans="1:7" x14ac:dyDescent="0.25">
      <c r="A386" t="s">
        <v>1243</v>
      </c>
      <c r="B386" t="s">
        <v>1244</v>
      </c>
      <c r="C386" t="s">
        <v>1245</v>
      </c>
      <c r="D386" t="s">
        <v>609</v>
      </c>
      <c r="E386" t="str">
        <f>"NL00740014089"</f>
        <v>NL00740014089</v>
      </c>
      <c r="F386" s="1">
        <v>42724</v>
      </c>
      <c r="G386" s="1">
        <v>44545</v>
      </c>
    </row>
    <row r="387" spans="1:7" x14ac:dyDescent="0.25">
      <c r="A387" t="s">
        <v>1246</v>
      </c>
      <c r="B387" t="s">
        <v>1247</v>
      </c>
      <c r="C387" t="s">
        <v>196</v>
      </c>
      <c r="D387" t="s">
        <v>66</v>
      </c>
      <c r="E387" t="str">
        <f>"NL00740025883"</f>
        <v>NL00740025883</v>
      </c>
      <c r="F387" s="1">
        <v>43774</v>
      </c>
      <c r="G387" s="1">
        <v>45597</v>
      </c>
    </row>
    <row r="388" spans="1:7" x14ac:dyDescent="0.25">
      <c r="A388" t="s">
        <v>1248</v>
      </c>
      <c r="B388" t="s">
        <v>1249</v>
      </c>
      <c r="C388" t="s">
        <v>1250</v>
      </c>
      <c r="D388" t="s">
        <v>30</v>
      </c>
      <c r="E388" t="str">
        <f>"NL00740026354"</f>
        <v>NL00740026354</v>
      </c>
      <c r="F388" s="1">
        <v>43858</v>
      </c>
      <c r="G388" s="1">
        <v>45685</v>
      </c>
    </row>
    <row r="389" spans="1:7" x14ac:dyDescent="0.25">
      <c r="A389" t="s">
        <v>1251</v>
      </c>
      <c r="B389" t="s">
        <v>1252</v>
      </c>
      <c r="C389" t="s">
        <v>389</v>
      </c>
      <c r="D389" t="s">
        <v>43</v>
      </c>
      <c r="E389" t="str">
        <f>"NL00740004405"</f>
        <v>NL00740004405</v>
      </c>
      <c r="F389" s="1">
        <v>41136</v>
      </c>
      <c r="G389" s="1">
        <v>44734</v>
      </c>
    </row>
    <row r="390" spans="1:7" x14ac:dyDescent="0.25">
      <c r="A390" t="s">
        <v>1253</v>
      </c>
      <c r="B390" t="s">
        <v>1254</v>
      </c>
      <c r="C390" t="s">
        <v>1255</v>
      </c>
      <c r="D390" t="s">
        <v>10</v>
      </c>
      <c r="E390" t="str">
        <f>"NL00740027271"</f>
        <v>NL00740027271</v>
      </c>
      <c r="F390" s="1">
        <v>44020</v>
      </c>
      <c r="G390" s="1">
        <v>45846</v>
      </c>
    </row>
    <row r="391" spans="1:7" x14ac:dyDescent="0.25">
      <c r="A391" t="s">
        <v>1256</v>
      </c>
      <c r="B391" t="s">
        <v>1257</v>
      </c>
      <c r="C391" t="s">
        <v>228</v>
      </c>
      <c r="D391" t="s">
        <v>39</v>
      </c>
      <c r="E391" t="str">
        <f>"NL00740002343"</f>
        <v>NL00740002343</v>
      </c>
      <c r="F391" s="1">
        <v>40940</v>
      </c>
      <c r="G391" s="1">
        <v>44503</v>
      </c>
    </row>
    <row r="392" spans="1:7" x14ac:dyDescent="0.25">
      <c r="A392" t="s">
        <v>1258</v>
      </c>
      <c r="B392" t="s">
        <v>1259</v>
      </c>
      <c r="C392" t="s">
        <v>1260</v>
      </c>
      <c r="D392" t="s">
        <v>43</v>
      </c>
      <c r="E392" t="str">
        <f>"NL00740002616"</f>
        <v>NL00740002616</v>
      </c>
      <c r="F392" s="1">
        <v>40969</v>
      </c>
      <c r="G392" s="1">
        <v>44585</v>
      </c>
    </row>
    <row r="393" spans="1:7" x14ac:dyDescent="0.25">
      <c r="A393" t="s">
        <v>1261</v>
      </c>
      <c r="B393" t="s">
        <v>1262</v>
      </c>
      <c r="C393" t="s">
        <v>1263</v>
      </c>
      <c r="D393" t="s">
        <v>253</v>
      </c>
      <c r="E393" t="str">
        <f>"NL00740027295"</f>
        <v>NL00740027295</v>
      </c>
      <c r="F393" s="1">
        <v>44026</v>
      </c>
      <c r="G393" s="1">
        <v>45852</v>
      </c>
    </row>
    <row r="394" spans="1:7" x14ac:dyDescent="0.25">
      <c r="A394" t="s">
        <v>1264</v>
      </c>
      <c r="B394" t="s">
        <v>1265</v>
      </c>
      <c r="C394" t="s">
        <v>1266</v>
      </c>
      <c r="D394" t="s">
        <v>47</v>
      </c>
      <c r="E394" t="str">
        <f>"NL00740015654"</f>
        <v>NL00740015654</v>
      </c>
      <c r="F394" s="1">
        <v>42949</v>
      </c>
      <c r="G394" s="1">
        <v>44775</v>
      </c>
    </row>
    <row r="395" spans="1:7" x14ac:dyDescent="0.25">
      <c r="A395" t="s">
        <v>1267</v>
      </c>
      <c r="B395" t="s">
        <v>1268</v>
      </c>
      <c r="C395" t="s">
        <v>1269</v>
      </c>
      <c r="D395" t="s">
        <v>449</v>
      </c>
      <c r="E395" t="str">
        <f>"NL00740319556"</f>
        <v>NL00740319556</v>
      </c>
      <c r="F395" s="1">
        <v>41640</v>
      </c>
      <c r="G395" s="1">
        <v>45223</v>
      </c>
    </row>
    <row r="396" spans="1:7" x14ac:dyDescent="0.25">
      <c r="A396" t="s">
        <v>1270</v>
      </c>
      <c r="B396" t="s">
        <v>1271</v>
      </c>
      <c r="C396" t="s">
        <v>1272</v>
      </c>
      <c r="D396" t="s">
        <v>316</v>
      </c>
      <c r="E396" t="str">
        <f>"NL00740007039"</f>
        <v>NL00740007039</v>
      </c>
      <c r="F396" s="1">
        <v>41864</v>
      </c>
      <c r="G396" s="1">
        <v>45483</v>
      </c>
    </row>
    <row r="397" spans="1:7" x14ac:dyDescent="0.25">
      <c r="A397" t="s">
        <v>1273</v>
      </c>
      <c r="B397" t="s">
        <v>1274</v>
      </c>
      <c r="C397" t="s">
        <v>1275</v>
      </c>
      <c r="D397" t="s">
        <v>316</v>
      </c>
      <c r="E397" t="str">
        <f>"NL00740027280"</f>
        <v>NL00740027280</v>
      </c>
      <c r="F397" s="1">
        <v>44021</v>
      </c>
      <c r="G397" s="1">
        <v>45847</v>
      </c>
    </row>
    <row r="398" spans="1:7" x14ac:dyDescent="0.25">
      <c r="A398" t="s">
        <v>1276</v>
      </c>
      <c r="B398" t="s">
        <v>1277</v>
      </c>
      <c r="C398" t="s">
        <v>1278</v>
      </c>
      <c r="D398" t="s">
        <v>52</v>
      </c>
      <c r="E398" t="str">
        <f>"NL00740003932"</f>
        <v>NL00740003932</v>
      </c>
      <c r="F398" s="1">
        <v>41061</v>
      </c>
      <c r="G398" s="1">
        <v>44651</v>
      </c>
    </row>
    <row r="399" spans="1:7" x14ac:dyDescent="0.25">
      <c r="A399" t="s">
        <v>1279</v>
      </c>
      <c r="B399" t="s">
        <v>1280</v>
      </c>
      <c r="C399" t="s">
        <v>1281</v>
      </c>
      <c r="D399" t="s">
        <v>66</v>
      </c>
      <c r="E399" t="str">
        <f>"NL00740001608"</f>
        <v>NL00740001608</v>
      </c>
      <c r="F399" s="1">
        <v>40848</v>
      </c>
      <c r="G399" s="1">
        <v>44374</v>
      </c>
    </row>
    <row r="400" spans="1:7" x14ac:dyDescent="0.25">
      <c r="A400" t="s">
        <v>1282</v>
      </c>
      <c r="B400" t="s">
        <v>1283</v>
      </c>
      <c r="C400" t="s">
        <v>1284</v>
      </c>
      <c r="D400" t="s">
        <v>43</v>
      </c>
      <c r="E400" t="str">
        <f>"NL00740010008"</f>
        <v>NL00740010008</v>
      </c>
      <c r="F400" s="1">
        <v>42335</v>
      </c>
      <c r="G400" s="1">
        <v>44162</v>
      </c>
    </row>
    <row r="401" spans="1:7" x14ac:dyDescent="0.25">
      <c r="A401" t="s">
        <v>1285</v>
      </c>
      <c r="B401" t="s">
        <v>1286</v>
      </c>
      <c r="C401" t="s">
        <v>1287</v>
      </c>
      <c r="D401" t="s">
        <v>48</v>
      </c>
      <c r="E401" t="str">
        <f>"NL00740017352"</f>
        <v>NL00740017352</v>
      </c>
      <c r="F401" s="1">
        <v>43194</v>
      </c>
      <c r="G401" s="1">
        <v>45020</v>
      </c>
    </row>
    <row r="402" spans="1:7" x14ac:dyDescent="0.25">
      <c r="A402" t="s">
        <v>1288</v>
      </c>
      <c r="B402" t="s">
        <v>1289</v>
      </c>
      <c r="C402" t="s">
        <v>1290</v>
      </c>
      <c r="D402" t="s">
        <v>1291</v>
      </c>
      <c r="E402" t="str">
        <f>"NL00740024360"</f>
        <v>NL00740024360</v>
      </c>
      <c r="F402" s="1">
        <v>43572</v>
      </c>
      <c r="G402" s="1">
        <v>45399</v>
      </c>
    </row>
    <row r="403" spans="1:7" x14ac:dyDescent="0.25">
      <c r="A403" t="s">
        <v>1292</v>
      </c>
      <c r="B403" t="s">
        <v>1293</v>
      </c>
      <c r="C403" t="s">
        <v>1294</v>
      </c>
      <c r="D403" t="s">
        <v>10</v>
      </c>
      <c r="E403" t="str">
        <f>"NL00740027179"</f>
        <v>NL00740027179</v>
      </c>
      <c r="F403" s="1">
        <v>43994</v>
      </c>
      <c r="G403" s="1">
        <v>45820</v>
      </c>
    </row>
    <row r="404" spans="1:7" x14ac:dyDescent="0.25">
      <c r="A404" t="s">
        <v>1295</v>
      </c>
      <c r="B404" t="s">
        <v>1296</v>
      </c>
      <c r="C404" t="s">
        <v>1297</v>
      </c>
      <c r="D404" t="s">
        <v>10</v>
      </c>
      <c r="E404" t="str">
        <f>"NL00740012328"</f>
        <v>NL00740012328</v>
      </c>
      <c r="F404" s="1">
        <v>42464</v>
      </c>
      <c r="G404" s="1">
        <v>44290</v>
      </c>
    </row>
    <row r="405" spans="1:7" x14ac:dyDescent="0.25">
      <c r="A405" t="s">
        <v>1298</v>
      </c>
      <c r="B405" t="s">
        <v>1299</v>
      </c>
      <c r="C405" t="s">
        <v>1300</v>
      </c>
      <c r="D405" t="s">
        <v>126</v>
      </c>
      <c r="E405" t="str">
        <f>"NL00740004221"</f>
        <v>NL00740004221</v>
      </c>
      <c r="F405" s="1">
        <v>41105</v>
      </c>
      <c r="G405" s="1">
        <v>44704</v>
      </c>
    </row>
    <row r="406" spans="1:7" x14ac:dyDescent="0.25">
      <c r="A406" t="s">
        <v>1301</v>
      </c>
      <c r="B406" t="s">
        <v>1302</v>
      </c>
      <c r="C406" t="s">
        <v>1219</v>
      </c>
      <c r="D406" t="s">
        <v>14</v>
      </c>
      <c r="E406" t="str">
        <f>"NL00740002568"</f>
        <v>NL00740002568</v>
      </c>
      <c r="F406" s="1">
        <v>40969</v>
      </c>
      <c r="G406" s="1">
        <v>44591</v>
      </c>
    </row>
    <row r="407" spans="1:7" x14ac:dyDescent="0.25">
      <c r="A407" t="s">
        <v>1303</v>
      </c>
      <c r="B407" t="s">
        <v>1304</v>
      </c>
      <c r="C407" t="s">
        <v>1305</v>
      </c>
      <c r="D407" t="s">
        <v>482</v>
      </c>
      <c r="E407" t="str">
        <f>"NL00740012822"</f>
        <v>NL00740012822</v>
      </c>
      <c r="F407" s="1">
        <v>42529</v>
      </c>
      <c r="G407" s="1">
        <v>44355</v>
      </c>
    </row>
    <row r="408" spans="1:7" x14ac:dyDescent="0.25">
      <c r="A408" t="s">
        <v>1306</v>
      </c>
      <c r="B408" t="s">
        <v>1307</v>
      </c>
      <c r="C408" t="s">
        <v>1308</v>
      </c>
      <c r="D408" t="s">
        <v>126</v>
      </c>
      <c r="E408" t="str">
        <f>"NL00740317936"</f>
        <v>NL00740317936</v>
      </c>
      <c r="F408" s="1">
        <v>41579</v>
      </c>
      <c r="G408" s="1">
        <v>45152</v>
      </c>
    </row>
    <row r="409" spans="1:7" x14ac:dyDescent="0.25">
      <c r="A409" t="s">
        <v>1309</v>
      </c>
      <c r="B409" t="s">
        <v>1310</v>
      </c>
      <c r="C409" t="s">
        <v>1311</v>
      </c>
      <c r="D409" t="s">
        <v>171</v>
      </c>
      <c r="E409" t="str">
        <f>"NL00740026594"</f>
        <v>NL00740026594</v>
      </c>
      <c r="F409" s="1">
        <v>43880</v>
      </c>
      <c r="G409" s="1">
        <v>45707</v>
      </c>
    </row>
    <row r="410" spans="1:7" x14ac:dyDescent="0.25">
      <c r="A410" t="s">
        <v>1312</v>
      </c>
      <c r="B410" t="s">
        <v>1313</v>
      </c>
      <c r="C410" t="s">
        <v>1314</v>
      </c>
      <c r="D410" t="s">
        <v>1210</v>
      </c>
      <c r="E410" t="str">
        <f>"NL00740018993"</f>
        <v>NL00740018993</v>
      </c>
      <c r="F410" s="1">
        <v>43381</v>
      </c>
      <c r="G410" s="1">
        <v>45207</v>
      </c>
    </row>
    <row r="411" spans="1:7" x14ac:dyDescent="0.25">
      <c r="A411" t="s">
        <v>1315</v>
      </c>
      <c r="B411" t="s">
        <v>1316</v>
      </c>
      <c r="C411" t="s">
        <v>1317</v>
      </c>
      <c r="D411" t="s">
        <v>1318</v>
      </c>
      <c r="E411" t="str">
        <f>"NL00740015178"</f>
        <v>NL00740015178</v>
      </c>
      <c r="F411" s="1">
        <v>42879</v>
      </c>
      <c r="G411" s="1">
        <v>44705</v>
      </c>
    </row>
    <row r="412" spans="1:7" x14ac:dyDescent="0.25">
      <c r="A412" t="s">
        <v>1319</v>
      </c>
      <c r="B412" t="s">
        <v>1320</v>
      </c>
      <c r="C412" t="s">
        <v>1321</v>
      </c>
      <c r="D412" t="s">
        <v>88</v>
      </c>
      <c r="E412" t="str">
        <f>"NL00740015228"</f>
        <v>NL00740015228</v>
      </c>
      <c r="F412" s="1">
        <v>42894</v>
      </c>
      <c r="G412" s="1">
        <v>44713</v>
      </c>
    </row>
    <row r="413" spans="1:7" x14ac:dyDescent="0.25">
      <c r="A413" t="s">
        <v>1322</v>
      </c>
      <c r="B413" t="s">
        <v>1323</v>
      </c>
      <c r="C413" t="s">
        <v>1324</v>
      </c>
      <c r="D413" t="s">
        <v>43</v>
      </c>
      <c r="E413" t="str">
        <f>"NL00740017163"</f>
        <v>NL00740017163</v>
      </c>
      <c r="F413" s="1">
        <v>41886</v>
      </c>
      <c r="G413" s="1">
        <v>45533</v>
      </c>
    </row>
    <row r="414" spans="1:7" x14ac:dyDescent="0.25">
      <c r="A414" t="s">
        <v>1325</v>
      </c>
      <c r="B414" t="s">
        <v>1326</v>
      </c>
      <c r="C414" t="s">
        <v>1327</v>
      </c>
      <c r="D414" t="s">
        <v>10</v>
      </c>
      <c r="E414" t="str">
        <f>"NL00740001595"</f>
        <v>NL00740001595</v>
      </c>
      <c r="F414" s="1">
        <v>40848</v>
      </c>
      <c r="G414" s="1">
        <v>44395</v>
      </c>
    </row>
    <row r="415" spans="1:7" x14ac:dyDescent="0.25">
      <c r="A415" t="s">
        <v>1328</v>
      </c>
      <c r="B415" t="s">
        <v>1329</v>
      </c>
      <c r="C415" t="s">
        <v>1330</v>
      </c>
      <c r="D415" t="s">
        <v>66</v>
      </c>
      <c r="E415" t="str">
        <f>"NL00740014909"</f>
        <v>NL00740014909</v>
      </c>
      <c r="F415" s="1">
        <v>42837</v>
      </c>
      <c r="G415" s="1">
        <v>44663</v>
      </c>
    </row>
    <row r="416" spans="1:7" x14ac:dyDescent="0.25">
      <c r="A416" t="s">
        <v>1331</v>
      </c>
      <c r="B416" t="s">
        <v>1332</v>
      </c>
      <c r="C416" t="s">
        <v>1333</v>
      </c>
      <c r="D416" t="s">
        <v>1334</v>
      </c>
      <c r="E416" t="str">
        <f>"NL00740006996"</f>
        <v>NL00740006996</v>
      </c>
      <c r="F416" s="1">
        <v>41857</v>
      </c>
      <c r="G416" s="1">
        <v>45463</v>
      </c>
    </row>
    <row r="417" spans="1:7" x14ac:dyDescent="0.25">
      <c r="A417" t="s">
        <v>1335</v>
      </c>
      <c r="B417" t="s">
        <v>1336</v>
      </c>
      <c r="C417" t="s">
        <v>1337</v>
      </c>
      <c r="D417" t="s">
        <v>1177</v>
      </c>
      <c r="E417" t="str">
        <f>"NL00740007489"</f>
        <v>NL00740007489</v>
      </c>
      <c r="F417" s="1">
        <v>41934</v>
      </c>
      <c r="G417" s="1">
        <v>45532</v>
      </c>
    </row>
    <row r="418" spans="1:7" x14ac:dyDescent="0.25">
      <c r="A418" t="s">
        <v>1338</v>
      </c>
      <c r="B418" t="s">
        <v>1339</v>
      </c>
      <c r="C418" t="s">
        <v>1340</v>
      </c>
      <c r="D418" t="s">
        <v>126</v>
      </c>
      <c r="E418" t="str">
        <f>"NL00740013795"</f>
        <v>NL00740013795</v>
      </c>
      <c r="F418" s="1">
        <v>42684</v>
      </c>
      <c r="G418" s="1">
        <v>44503</v>
      </c>
    </row>
    <row r="419" spans="1:7" x14ac:dyDescent="0.25">
      <c r="A419" t="s">
        <v>1341</v>
      </c>
      <c r="B419" t="s">
        <v>1342</v>
      </c>
      <c r="C419" t="s">
        <v>1343</v>
      </c>
      <c r="D419" t="s">
        <v>1344</v>
      </c>
      <c r="E419" t="str">
        <f>"NL00740015139"</f>
        <v>NL00740015139</v>
      </c>
      <c r="F419" s="1">
        <v>42878</v>
      </c>
      <c r="G419" s="1">
        <v>44699</v>
      </c>
    </row>
    <row r="420" spans="1:7" x14ac:dyDescent="0.25">
      <c r="A420" t="s">
        <v>1345</v>
      </c>
      <c r="B420" t="s">
        <v>1346</v>
      </c>
      <c r="C420" t="s">
        <v>1347</v>
      </c>
      <c r="D420" t="s">
        <v>43</v>
      </c>
      <c r="E420" t="str">
        <f>"NL00740001652"</f>
        <v>NL00740001652</v>
      </c>
      <c r="F420" s="1">
        <v>40862</v>
      </c>
      <c r="G420" s="1">
        <v>44395</v>
      </c>
    </row>
    <row r="421" spans="1:7" x14ac:dyDescent="0.25">
      <c r="A421" t="s">
        <v>1348</v>
      </c>
      <c r="B421" t="s">
        <v>1349</v>
      </c>
      <c r="C421" t="s">
        <v>1278</v>
      </c>
      <c r="D421" t="s">
        <v>52</v>
      </c>
      <c r="E421" t="str">
        <f>"NL00740005029"</f>
        <v>NL00740005029</v>
      </c>
      <c r="F421" s="1">
        <v>41228</v>
      </c>
      <c r="G421" s="1">
        <v>44832</v>
      </c>
    </row>
    <row r="422" spans="1:7" x14ac:dyDescent="0.25">
      <c r="A422" t="s">
        <v>1350</v>
      </c>
      <c r="B422" t="s">
        <v>1351</v>
      </c>
      <c r="C422" t="s">
        <v>1352</v>
      </c>
      <c r="D422" t="s">
        <v>48</v>
      </c>
      <c r="E422" t="str">
        <f>"NL00740007594"</f>
        <v>NL00740007594</v>
      </c>
      <c r="F422" s="1">
        <v>41948</v>
      </c>
      <c r="G422" s="1">
        <v>45552</v>
      </c>
    </row>
    <row r="423" spans="1:7" x14ac:dyDescent="0.25">
      <c r="A423" t="s">
        <v>1312</v>
      </c>
      <c r="B423" t="s">
        <v>1313</v>
      </c>
      <c r="C423" t="s">
        <v>1314</v>
      </c>
      <c r="D423" t="s">
        <v>1210</v>
      </c>
      <c r="E423" t="str">
        <f>"NL00740012939"</f>
        <v>NL00740012939</v>
      </c>
      <c r="F423" s="1">
        <v>42548</v>
      </c>
      <c r="G423" s="1">
        <v>44374</v>
      </c>
    </row>
    <row r="424" spans="1:7" x14ac:dyDescent="0.25">
      <c r="A424" t="s">
        <v>1353</v>
      </c>
      <c r="B424" t="s">
        <v>1354</v>
      </c>
      <c r="C424" t="s">
        <v>1355</v>
      </c>
      <c r="D424" t="s">
        <v>1356</v>
      </c>
      <c r="E424" t="str">
        <f>"NL00740027272"</f>
        <v>NL00740027272</v>
      </c>
      <c r="F424" s="1">
        <v>44020</v>
      </c>
      <c r="G424" s="1">
        <v>45846</v>
      </c>
    </row>
    <row r="425" spans="1:7" x14ac:dyDescent="0.25">
      <c r="A425" t="s">
        <v>1357</v>
      </c>
      <c r="B425" t="s">
        <v>1358</v>
      </c>
      <c r="C425" t="s">
        <v>1359</v>
      </c>
      <c r="D425" t="s">
        <v>191</v>
      </c>
      <c r="E425" t="str">
        <f>"NL00740024156"</f>
        <v>NL00740024156</v>
      </c>
      <c r="F425" s="1">
        <v>43557</v>
      </c>
      <c r="G425" s="1">
        <v>45384</v>
      </c>
    </row>
    <row r="426" spans="1:7" x14ac:dyDescent="0.25">
      <c r="A426" t="s">
        <v>1360</v>
      </c>
      <c r="B426" t="s">
        <v>1361</v>
      </c>
      <c r="C426" t="s">
        <v>1362</v>
      </c>
      <c r="D426" t="s">
        <v>43</v>
      </c>
      <c r="E426" t="str">
        <f>"NL00740317191"</f>
        <v>NL00740317191</v>
      </c>
      <c r="F426" s="1">
        <v>41501</v>
      </c>
      <c r="G426" s="1">
        <v>45078</v>
      </c>
    </row>
    <row r="427" spans="1:7" x14ac:dyDescent="0.25">
      <c r="A427" t="s">
        <v>1363</v>
      </c>
      <c r="B427" t="s">
        <v>1364</v>
      </c>
      <c r="C427" t="s">
        <v>1365</v>
      </c>
      <c r="D427" t="s">
        <v>1366</v>
      </c>
      <c r="E427" t="str">
        <f>"NL00740000943"</f>
        <v>NL00740000943</v>
      </c>
      <c r="F427" s="1">
        <v>40725</v>
      </c>
      <c r="G427" s="1">
        <v>44346</v>
      </c>
    </row>
    <row r="428" spans="1:7" x14ac:dyDescent="0.25">
      <c r="A428" t="s">
        <v>1367</v>
      </c>
      <c r="B428" t="s">
        <v>1368</v>
      </c>
      <c r="C428" t="s">
        <v>1369</v>
      </c>
      <c r="D428" t="s">
        <v>587</v>
      </c>
      <c r="E428" t="str">
        <f>"NL00740014878"</f>
        <v>NL00740014878</v>
      </c>
      <c r="F428" s="1">
        <v>42836</v>
      </c>
      <c r="G428" s="1">
        <v>44661</v>
      </c>
    </row>
    <row r="429" spans="1:7" x14ac:dyDescent="0.25">
      <c r="A429" t="s">
        <v>1370</v>
      </c>
      <c r="C429" t="s">
        <v>228</v>
      </c>
      <c r="D429" t="s">
        <v>157</v>
      </c>
      <c r="E429" t="str">
        <f>"NL00740018040"</f>
        <v>NL00740018040</v>
      </c>
      <c r="F429" s="1">
        <v>43273</v>
      </c>
      <c r="G429" s="1">
        <v>45099</v>
      </c>
    </row>
    <row r="430" spans="1:7" x14ac:dyDescent="0.25">
      <c r="A430" t="s">
        <v>1371</v>
      </c>
      <c r="B430" t="s">
        <v>1372</v>
      </c>
      <c r="C430" t="s">
        <v>1373</v>
      </c>
      <c r="D430" t="s">
        <v>10</v>
      </c>
      <c r="E430" t="str">
        <f>"NL00740316922"</f>
        <v>NL00740316922</v>
      </c>
      <c r="F430" s="1">
        <v>41492</v>
      </c>
      <c r="G430" s="1">
        <v>45013</v>
      </c>
    </row>
    <row r="431" spans="1:7" x14ac:dyDescent="0.25">
      <c r="A431" t="s">
        <v>1374</v>
      </c>
      <c r="B431" t="s">
        <v>1375</v>
      </c>
      <c r="C431" t="s">
        <v>1376</v>
      </c>
      <c r="D431" t="s">
        <v>221</v>
      </c>
      <c r="E431" t="str">
        <f>"NL00740010529"</f>
        <v>NL00740010529</v>
      </c>
      <c r="F431" s="1">
        <v>42416</v>
      </c>
      <c r="G431" s="1">
        <v>44243</v>
      </c>
    </row>
    <row r="432" spans="1:7" x14ac:dyDescent="0.25">
      <c r="A432" t="s">
        <v>1377</v>
      </c>
      <c r="B432" t="s">
        <v>1378</v>
      </c>
      <c r="C432" t="s">
        <v>1379</v>
      </c>
      <c r="D432" t="s">
        <v>14</v>
      </c>
      <c r="E432" t="str">
        <f>"NL00740024976"</f>
        <v>NL00740024976</v>
      </c>
      <c r="F432" s="1">
        <v>43661</v>
      </c>
      <c r="G432" s="1">
        <v>45484</v>
      </c>
    </row>
    <row r="433" spans="1:7" x14ac:dyDescent="0.25">
      <c r="A433" t="s">
        <v>1380</v>
      </c>
      <c r="B433" t="s">
        <v>1381</v>
      </c>
      <c r="C433" t="s">
        <v>1382</v>
      </c>
      <c r="D433" t="s">
        <v>126</v>
      </c>
      <c r="E433" t="str">
        <f>"NL00740006559"</f>
        <v>NL00740006559</v>
      </c>
      <c r="F433" s="1">
        <v>41774</v>
      </c>
      <c r="G433" s="1">
        <v>45387</v>
      </c>
    </row>
    <row r="434" spans="1:7" x14ac:dyDescent="0.25">
      <c r="A434" t="s">
        <v>1383</v>
      </c>
      <c r="B434" t="s">
        <v>1384</v>
      </c>
      <c r="C434" t="s">
        <v>1385</v>
      </c>
      <c r="D434" t="s">
        <v>48</v>
      </c>
      <c r="E434" t="str">
        <f>"NL00740013833"</f>
        <v>NL00740013833</v>
      </c>
      <c r="F434" s="1">
        <v>42711</v>
      </c>
      <c r="G434" s="1">
        <v>44509</v>
      </c>
    </row>
    <row r="435" spans="1:7" x14ac:dyDescent="0.25">
      <c r="A435" t="s">
        <v>1386</v>
      </c>
      <c r="B435" t="s">
        <v>1387</v>
      </c>
      <c r="C435" t="s">
        <v>1388</v>
      </c>
      <c r="D435" t="s">
        <v>48</v>
      </c>
      <c r="E435" t="str">
        <f>"NL00740318208"</f>
        <v>NL00740318208</v>
      </c>
      <c r="F435" s="1">
        <v>41610</v>
      </c>
      <c r="G435" s="1">
        <v>45147</v>
      </c>
    </row>
    <row r="436" spans="1:7" x14ac:dyDescent="0.25">
      <c r="A436" t="s">
        <v>1389</v>
      </c>
      <c r="B436" t="s">
        <v>1390</v>
      </c>
      <c r="C436" t="s">
        <v>392</v>
      </c>
      <c r="D436" t="s">
        <v>43</v>
      </c>
      <c r="E436" t="str">
        <f>"NL00740323202"</f>
        <v>NL00740323202</v>
      </c>
      <c r="F436" s="1">
        <v>41704</v>
      </c>
      <c r="G436" s="1">
        <v>45357</v>
      </c>
    </row>
    <row r="437" spans="1:7" x14ac:dyDescent="0.25">
      <c r="A437" t="s">
        <v>1391</v>
      </c>
      <c r="B437" t="s">
        <v>1392</v>
      </c>
      <c r="C437" t="s">
        <v>1393</v>
      </c>
      <c r="D437" t="s">
        <v>1054</v>
      </c>
      <c r="E437" t="str">
        <f>"NL00740012905"</f>
        <v>NL00740012905</v>
      </c>
      <c r="F437" s="1">
        <v>42542</v>
      </c>
      <c r="G437" s="1">
        <v>44367</v>
      </c>
    </row>
    <row r="438" spans="1:7" x14ac:dyDescent="0.25">
      <c r="A438" t="s">
        <v>1394</v>
      </c>
      <c r="B438" t="s">
        <v>1395</v>
      </c>
      <c r="C438" t="s">
        <v>1396</v>
      </c>
      <c r="D438" t="s">
        <v>66</v>
      </c>
      <c r="E438" t="str">
        <f>"NL00740000559"</f>
        <v>NL00740000559</v>
      </c>
      <c r="F438" s="1">
        <v>40695</v>
      </c>
      <c r="G438" s="1">
        <v>44290</v>
      </c>
    </row>
    <row r="439" spans="1:7" x14ac:dyDescent="0.25">
      <c r="A439" t="s">
        <v>1397</v>
      </c>
      <c r="B439" t="s">
        <v>1398</v>
      </c>
      <c r="C439" t="s">
        <v>1399</v>
      </c>
      <c r="D439" t="s">
        <v>66</v>
      </c>
      <c r="E439" t="str">
        <f>"NL00740005085"</f>
        <v>NL00740005085</v>
      </c>
      <c r="F439" s="1">
        <v>41249</v>
      </c>
      <c r="G439" s="1">
        <v>44798</v>
      </c>
    </row>
    <row r="440" spans="1:7" x14ac:dyDescent="0.25">
      <c r="A440" t="s">
        <v>1400</v>
      </c>
      <c r="B440" t="s">
        <v>1401</v>
      </c>
      <c r="C440" t="s">
        <v>1226</v>
      </c>
      <c r="D440" t="s">
        <v>467</v>
      </c>
      <c r="E440" t="str">
        <f>"NL00740026908"</f>
        <v>NL00740026908</v>
      </c>
      <c r="F440" s="1">
        <v>43924</v>
      </c>
      <c r="G440" s="1">
        <v>45750</v>
      </c>
    </row>
    <row r="441" spans="1:7" x14ac:dyDescent="0.25">
      <c r="A441" t="s">
        <v>1402</v>
      </c>
      <c r="B441" t="s">
        <v>1403</v>
      </c>
      <c r="C441" t="s">
        <v>1404</v>
      </c>
      <c r="D441" t="s">
        <v>171</v>
      </c>
      <c r="E441" t="str">
        <f>"NL00740001651"</f>
        <v>NL00740001651</v>
      </c>
      <c r="F441" s="1">
        <v>40862</v>
      </c>
      <c r="G441" s="1">
        <v>44410</v>
      </c>
    </row>
    <row r="442" spans="1:7" x14ac:dyDescent="0.25">
      <c r="A442" t="s">
        <v>1405</v>
      </c>
      <c r="B442" t="s">
        <v>1406</v>
      </c>
      <c r="C442" t="s">
        <v>1407</v>
      </c>
      <c r="D442" t="s">
        <v>140</v>
      </c>
      <c r="E442" t="str">
        <f>"NL00740008934"</f>
        <v>NL00740008934</v>
      </c>
      <c r="F442" s="1">
        <v>42160</v>
      </c>
      <c r="G442" s="1">
        <v>45715</v>
      </c>
    </row>
    <row r="443" spans="1:7" x14ac:dyDescent="0.25">
      <c r="A443" t="s">
        <v>1408</v>
      </c>
      <c r="B443" t="s">
        <v>1409</v>
      </c>
      <c r="C443" t="s">
        <v>1410</v>
      </c>
      <c r="D443" t="s">
        <v>478</v>
      </c>
      <c r="E443" t="str">
        <f>"NL00740009896"</f>
        <v>NL00740009896</v>
      </c>
      <c r="F443" s="1">
        <v>42321</v>
      </c>
      <c r="G443" s="1">
        <v>44148</v>
      </c>
    </row>
    <row r="444" spans="1:7" x14ac:dyDescent="0.25">
      <c r="A444" t="s">
        <v>1411</v>
      </c>
      <c r="C444" t="s">
        <v>1412</v>
      </c>
      <c r="D444" t="s">
        <v>1413</v>
      </c>
      <c r="E444" t="str">
        <f>"NL00740013796"</f>
        <v>NL00740013796</v>
      </c>
      <c r="F444" s="1">
        <v>42683</v>
      </c>
      <c r="G444" s="1">
        <v>44503</v>
      </c>
    </row>
    <row r="445" spans="1:7" x14ac:dyDescent="0.25">
      <c r="A445" t="s">
        <v>1414</v>
      </c>
      <c r="B445" t="s">
        <v>1415</v>
      </c>
      <c r="C445" t="s">
        <v>1416</v>
      </c>
      <c r="D445" t="s">
        <v>43</v>
      </c>
      <c r="E445" t="str">
        <f>"NL00740010439"</f>
        <v>NL00740010439</v>
      </c>
      <c r="F445" s="1">
        <v>42415</v>
      </c>
      <c r="G445" s="1">
        <v>44242</v>
      </c>
    </row>
    <row r="446" spans="1:7" x14ac:dyDescent="0.25">
      <c r="A446" t="s">
        <v>1417</v>
      </c>
      <c r="B446" t="s">
        <v>1418</v>
      </c>
      <c r="C446" t="s">
        <v>1419</v>
      </c>
      <c r="D446" t="s">
        <v>370</v>
      </c>
      <c r="E446" t="str">
        <f>"NL00740017431"</f>
        <v>NL00740017431</v>
      </c>
      <c r="F446" s="1">
        <v>43201</v>
      </c>
      <c r="G446" s="1">
        <v>45027</v>
      </c>
    </row>
    <row r="447" spans="1:7" x14ac:dyDescent="0.25">
      <c r="A447" t="s">
        <v>1420</v>
      </c>
      <c r="B447" t="s">
        <v>1421</v>
      </c>
      <c r="C447" t="s">
        <v>1422</v>
      </c>
      <c r="D447" t="s">
        <v>88</v>
      </c>
      <c r="E447" t="str">
        <f>"NL00740026178"</f>
        <v>NL00740026178</v>
      </c>
      <c r="F447" s="1">
        <v>43815</v>
      </c>
      <c r="G447" s="1">
        <v>45639</v>
      </c>
    </row>
    <row r="448" spans="1:7" x14ac:dyDescent="0.25">
      <c r="A448" t="s">
        <v>1423</v>
      </c>
      <c r="B448" t="s">
        <v>1424</v>
      </c>
      <c r="C448" t="s">
        <v>42</v>
      </c>
      <c r="D448" t="s">
        <v>9</v>
      </c>
      <c r="E448" t="str">
        <f>"NL00740017968"</f>
        <v>NL00740017968</v>
      </c>
      <c r="F448" s="1">
        <v>43264</v>
      </c>
      <c r="G448" s="1">
        <v>45090</v>
      </c>
    </row>
    <row r="449" spans="1:7" x14ac:dyDescent="0.25">
      <c r="A449" t="s">
        <v>1425</v>
      </c>
      <c r="B449" t="s">
        <v>1426</v>
      </c>
      <c r="C449" t="s">
        <v>1427</v>
      </c>
      <c r="D449" t="s">
        <v>1428</v>
      </c>
      <c r="E449" t="str">
        <f>"NL00740006686"</f>
        <v>NL00740006686</v>
      </c>
      <c r="F449" s="1">
        <v>41814</v>
      </c>
      <c r="G449" s="1">
        <v>45455</v>
      </c>
    </row>
    <row r="450" spans="1:7" x14ac:dyDescent="0.25">
      <c r="A450" t="s">
        <v>1429</v>
      </c>
      <c r="B450" t="s">
        <v>1430</v>
      </c>
      <c r="C450" t="s">
        <v>1431</v>
      </c>
      <c r="D450" t="s">
        <v>43</v>
      </c>
      <c r="E450" t="str">
        <f>"NL00740004126"</f>
        <v>NL00740004126</v>
      </c>
      <c r="F450" s="1">
        <v>41091</v>
      </c>
      <c r="G450" s="1">
        <v>44726</v>
      </c>
    </row>
    <row r="451" spans="1:7" x14ac:dyDescent="0.25">
      <c r="A451" t="s">
        <v>1432</v>
      </c>
      <c r="B451" t="s">
        <v>1433</v>
      </c>
      <c r="C451" t="s">
        <v>1434</v>
      </c>
      <c r="D451" t="s">
        <v>1435</v>
      </c>
      <c r="E451" t="str">
        <f>"NL00740010043"</f>
        <v>NL00740010043</v>
      </c>
      <c r="F451" s="1">
        <v>42345</v>
      </c>
      <c r="G451" s="1">
        <v>44172</v>
      </c>
    </row>
    <row r="452" spans="1:7" x14ac:dyDescent="0.25">
      <c r="A452" t="s">
        <v>1436</v>
      </c>
      <c r="B452" t="s">
        <v>1437</v>
      </c>
      <c r="C452" t="s">
        <v>1438</v>
      </c>
      <c r="D452" t="s">
        <v>1152</v>
      </c>
      <c r="E452" t="str">
        <f>"NL00740000617"</f>
        <v>NL00740000617</v>
      </c>
      <c r="F452" s="1">
        <v>40119</v>
      </c>
      <c r="G452" s="1">
        <v>44285</v>
      </c>
    </row>
    <row r="453" spans="1:7" x14ac:dyDescent="0.25">
      <c r="A453" t="s">
        <v>1439</v>
      </c>
      <c r="B453" t="s">
        <v>1440</v>
      </c>
      <c r="C453" t="s">
        <v>1441</v>
      </c>
      <c r="D453" t="s">
        <v>43</v>
      </c>
      <c r="E453" t="str">
        <f>"NL00740025365"</f>
        <v>NL00740025365</v>
      </c>
      <c r="F453" s="1">
        <v>43719</v>
      </c>
      <c r="G453" s="1">
        <v>45544</v>
      </c>
    </row>
    <row r="454" spans="1:7" x14ac:dyDescent="0.25">
      <c r="A454" t="s">
        <v>1442</v>
      </c>
      <c r="B454" t="s">
        <v>1443</v>
      </c>
      <c r="C454" t="s">
        <v>392</v>
      </c>
      <c r="D454" t="s">
        <v>43</v>
      </c>
      <c r="E454" t="str">
        <f>"NL00740002238"</f>
        <v>NL00740002238</v>
      </c>
      <c r="F454" s="1">
        <v>40909</v>
      </c>
      <c r="G454" s="1">
        <v>44503</v>
      </c>
    </row>
    <row r="455" spans="1:7" x14ac:dyDescent="0.25">
      <c r="A455" t="s">
        <v>1444</v>
      </c>
      <c r="B455" t="s">
        <v>1445</v>
      </c>
      <c r="C455" t="s">
        <v>1446</v>
      </c>
      <c r="D455" t="s">
        <v>1177</v>
      </c>
      <c r="E455" t="str">
        <f>"NL00740005669"</f>
        <v>NL00740005669</v>
      </c>
      <c r="F455" s="1">
        <v>41334</v>
      </c>
      <c r="G455" s="1">
        <v>44966</v>
      </c>
    </row>
    <row r="456" spans="1:7" x14ac:dyDescent="0.25">
      <c r="A456" t="s">
        <v>1447</v>
      </c>
      <c r="B456" t="s">
        <v>1448</v>
      </c>
      <c r="C456" t="s">
        <v>278</v>
      </c>
      <c r="D456" t="s">
        <v>148</v>
      </c>
      <c r="E456" t="str">
        <f>"NL00740009657"</f>
        <v>NL00740009657</v>
      </c>
      <c r="F456" s="1">
        <v>42284</v>
      </c>
      <c r="G456" s="1">
        <v>45931</v>
      </c>
    </row>
    <row r="457" spans="1:7" x14ac:dyDescent="0.25">
      <c r="A457" t="s">
        <v>1449</v>
      </c>
      <c r="B457" t="s">
        <v>1450</v>
      </c>
      <c r="C457" t="s">
        <v>1451</v>
      </c>
      <c r="D457" t="s">
        <v>1452</v>
      </c>
      <c r="E457" t="str">
        <f>"NL00740018663"</f>
        <v>NL00740018663</v>
      </c>
      <c r="F457" s="1">
        <v>43347</v>
      </c>
    </row>
    <row r="458" spans="1:7" x14ac:dyDescent="0.25">
      <c r="A458" t="s">
        <v>1453</v>
      </c>
      <c r="B458" t="s">
        <v>1454</v>
      </c>
      <c r="C458" t="s">
        <v>1455</v>
      </c>
      <c r="D458" t="s">
        <v>340</v>
      </c>
      <c r="E458" t="str">
        <f>"NL00740025992"</f>
        <v>NL00740025992</v>
      </c>
      <c r="F458" s="1">
        <v>43784</v>
      </c>
      <c r="G458" s="1">
        <v>45611</v>
      </c>
    </row>
    <row r="459" spans="1:7" x14ac:dyDescent="0.25">
      <c r="A459" t="s">
        <v>1456</v>
      </c>
      <c r="B459" t="s">
        <v>1457</v>
      </c>
      <c r="C459" t="s">
        <v>99</v>
      </c>
      <c r="D459" t="s">
        <v>52</v>
      </c>
      <c r="E459" t="str">
        <f>"NL00740012197"</f>
        <v>NL00740012197</v>
      </c>
      <c r="F459" s="1">
        <v>42452</v>
      </c>
      <c r="G459" s="1">
        <v>44269</v>
      </c>
    </row>
    <row r="460" spans="1:7" x14ac:dyDescent="0.25">
      <c r="A460" t="s">
        <v>1458</v>
      </c>
      <c r="B460" t="s">
        <v>1459</v>
      </c>
      <c r="C460" t="s">
        <v>319</v>
      </c>
      <c r="D460" t="s">
        <v>320</v>
      </c>
      <c r="E460" t="str">
        <f>"NL00740027848"</f>
        <v>NL00740027848</v>
      </c>
      <c r="F460" s="1">
        <v>44113</v>
      </c>
      <c r="G460" s="1">
        <v>45939</v>
      </c>
    </row>
    <row r="461" spans="1:7" x14ac:dyDescent="0.25">
      <c r="A461" t="s">
        <v>1460</v>
      </c>
      <c r="B461" t="s">
        <v>1461</v>
      </c>
      <c r="C461" t="s">
        <v>1462</v>
      </c>
      <c r="D461" t="s">
        <v>1125</v>
      </c>
      <c r="E461" t="str">
        <f>"NL00740014029"</f>
        <v>NL00740014029</v>
      </c>
      <c r="F461" s="1">
        <v>42712</v>
      </c>
      <c r="G461" s="1">
        <v>44507</v>
      </c>
    </row>
    <row r="462" spans="1:7" x14ac:dyDescent="0.25">
      <c r="A462" t="s">
        <v>1463</v>
      </c>
      <c r="B462" t="s">
        <v>1464</v>
      </c>
      <c r="C462" t="s">
        <v>1465</v>
      </c>
      <c r="D462" t="s">
        <v>1466</v>
      </c>
      <c r="E462" t="str">
        <f>"NL00740013876"</f>
        <v>NL00740013876</v>
      </c>
      <c r="F462" s="1">
        <v>42712</v>
      </c>
      <c r="G462" s="1">
        <v>44515</v>
      </c>
    </row>
    <row r="463" spans="1:7" x14ac:dyDescent="0.25">
      <c r="A463" t="s">
        <v>1467</v>
      </c>
      <c r="B463" t="s">
        <v>1468</v>
      </c>
      <c r="C463" t="s">
        <v>952</v>
      </c>
      <c r="D463" t="s">
        <v>221</v>
      </c>
      <c r="E463" t="str">
        <f>"NL00740014936"</f>
        <v>NL00740014936</v>
      </c>
      <c r="F463" s="1">
        <v>42843</v>
      </c>
      <c r="G463" s="1">
        <v>44669</v>
      </c>
    </row>
    <row r="464" spans="1:7" x14ac:dyDescent="0.25">
      <c r="A464" t="s">
        <v>1469</v>
      </c>
      <c r="B464" t="s">
        <v>1470</v>
      </c>
      <c r="C464" t="s">
        <v>1471</v>
      </c>
      <c r="D464" t="s">
        <v>344</v>
      </c>
      <c r="E464" t="str">
        <f>"NL00740009968"</f>
        <v>NL00740009968</v>
      </c>
      <c r="F464" s="1">
        <v>42332</v>
      </c>
      <c r="G464" s="1">
        <v>44159</v>
      </c>
    </row>
    <row r="465" spans="1:7" x14ac:dyDescent="0.25">
      <c r="A465" t="s">
        <v>1472</v>
      </c>
      <c r="B465" t="s">
        <v>1473</v>
      </c>
      <c r="C465" t="s">
        <v>1474</v>
      </c>
      <c r="D465" t="s">
        <v>1475</v>
      </c>
      <c r="E465" t="str">
        <f>"NL00740008108"</f>
        <v>NL00740008108</v>
      </c>
      <c r="F465" s="1">
        <v>42037</v>
      </c>
      <c r="G465" s="1">
        <v>45596</v>
      </c>
    </row>
    <row r="466" spans="1:7" x14ac:dyDescent="0.25">
      <c r="A466" t="s">
        <v>1476</v>
      </c>
      <c r="B466" t="s">
        <v>1477</v>
      </c>
      <c r="C466" t="s">
        <v>1478</v>
      </c>
      <c r="D466" t="s">
        <v>148</v>
      </c>
      <c r="E466" t="str">
        <f>"NL00740004189"</f>
        <v>NL00740004189</v>
      </c>
      <c r="F466" s="1">
        <v>42885</v>
      </c>
      <c r="G466" s="1">
        <v>44711</v>
      </c>
    </row>
    <row r="467" spans="1:7" x14ac:dyDescent="0.25">
      <c r="A467" t="s">
        <v>1479</v>
      </c>
      <c r="B467" t="s">
        <v>1480</v>
      </c>
      <c r="C467" t="s">
        <v>1481</v>
      </c>
      <c r="D467" t="s">
        <v>332</v>
      </c>
      <c r="E467" t="str">
        <f>"NL00740015788"</f>
        <v>NL00740015788</v>
      </c>
      <c r="F467" s="1">
        <v>42977</v>
      </c>
      <c r="G467" s="1">
        <v>44803</v>
      </c>
    </row>
    <row r="468" spans="1:7" x14ac:dyDescent="0.25">
      <c r="A468" t="s">
        <v>1482</v>
      </c>
      <c r="B468" t="s">
        <v>1483</v>
      </c>
      <c r="C468" t="s">
        <v>1484</v>
      </c>
      <c r="D468" t="s">
        <v>384</v>
      </c>
      <c r="E468" t="str">
        <f>"NL00740012903"</f>
        <v>NL00740012903</v>
      </c>
      <c r="F468" s="1">
        <v>42541</v>
      </c>
      <c r="G468" s="1">
        <v>44367</v>
      </c>
    </row>
    <row r="469" spans="1:7" x14ac:dyDescent="0.25">
      <c r="A469" t="s">
        <v>1485</v>
      </c>
      <c r="B469" t="s">
        <v>1486</v>
      </c>
      <c r="C469" t="s">
        <v>51</v>
      </c>
      <c r="D469" t="s">
        <v>52</v>
      </c>
      <c r="E469" t="str">
        <f>"NL00740003110"</f>
        <v>NL00740003110</v>
      </c>
      <c r="F469" s="1">
        <v>41030</v>
      </c>
      <c r="G469" s="1">
        <v>44650</v>
      </c>
    </row>
    <row r="470" spans="1:7" x14ac:dyDescent="0.25">
      <c r="A470" t="s">
        <v>1487</v>
      </c>
      <c r="B470" t="s">
        <v>1488</v>
      </c>
      <c r="C470" t="s">
        <v>1410</v>
      </c>
      <c r="D470" t="s">
        <v>478</v>
      </c>
      <c r="E470" t="str">
        <f>"NL00740027044"</f>
        <v>NL00740027044</v>
      </c>
      <c r="F470" s="1">
        <v>43959</v>
      </c>
      <c r="G470" s="1">
        <v>45785</v>
      </c>
    </row>
    <row r="471" spans="1:7" x14ac:dyDescent="0.25">
      <c r="A471" t="s">
        <v>1489</v>
      </c>
      <c r="B471" t="s">
        <v>1490</v>
      </c>
      <c r="C471" t="s">
        <v>834</v>
      </c>
      <c r="D471" t="s">
        <v>84</v>
      </c>
      <c r="E471" t="str">
        <f>"NL00740017953"</f>
        <v>NL00740017953</v>
      </c>
      <c r="F471" s="1">
        <v>43264</v>
      </c>
      <c r="G471" s="1">
        <v>45088</v>
      </c>
    </row>
    <row r="472" spans="1:7" x14ac:dyDescent="0.25">
      <c r="A472" t="s">
        <v>1491</v>
      </c>
      <c r="B472" t="s">
        <v>1492</v>
      </c>
      <c r="C472" t="s">
        <v>1493</v>
      </c>
      <c r="D472" t="s">
        <v>1494</v>
      </c>
      <c r="E472" t="str">
        <f>"NL00740016350"</f>
        <v>NL00740016350</v>
      </c>
      <c r="F472" s="1">
        <v>43067</v>
      </c>
      <c r="G472" s="1">
        <v>44893</v>
      </c>
    </row>
    <row r="473" spans="1:7" x14ac:dyDescent="0.25">
      <c r="A473" t="s">
        <v>1495</v>
      </c>
      <c r="B473" t="s">
        <v>1496</v>
      </c>
      <c r="C473" t="s">
        <v>1497</v>
      </c>
      <c r="D473" t="s">
        <v>734</v>
      </c>
      <c r="E473" t="str">
        <f>"NL00740024813"</f>
        <v>NL00740024813</v>
      </c>
      <c r="F473" s="1">
        <v>43640</v>
      </c>
      <c r="G473" s="1">
        <v>45463</v>
      </c>
    </row>
    <row r="474" spans="1:7" x14ac:dyDescent="0.25">
      <c r="A474" t="s">
        <v>1498</v>
      </c>
      <c r="C474" t="s">
        <v>1499</v>
      </c>
      <c r="D474" t="s">
        <v>43</v>
      </c>
      <c r="E474" t="str">
        <f>"NL00740004560"</f>
        <v>NL00740004560</v>
      </c>
      <c r="F474" s="1">
        <v>41153</v>
      </c>
      <c r="G474" s="1">
        <v>44767</v>
      </c>
    </row>
    <row r="475" spans="1:7" x14ac:dyDescent="0.25">
      <c r="A475" t="s">
        <v>1500</v>
      </c>
      <c r="B475" t="s">
        <v>1501</v>
      </c>
      <c r="C475" t="s">
        <v>1502</v>
      </c>
      <c r="D475" t="s">
        <v>48</v>
      </c>
      <c r="E475" t="str">
        <f>"NL00740027716"</f>
        <v>NL00740027716</v>
      </c>
      <c r="F475" s="1">
        <v>44098</v>
      </c>
      <c r="G475" s="1">
        <v>45924</v>
      </c>
    </row>
    <row r="476" spans="1:7" x14ac:dyDescent="0.25">
      <c r="A476" t="s">
        <v>1503</v>
      </c>
      <c r="B476" t="s">
        <v>1504</v>
      </c>
      <c r="C476" t="s">
        <v>1505</v>
      </c>
      <c r="D476" t="s">
        <v>126</v>
      </c>
      <c r="E476" t="str">
        <f>"NL00740026336"</f>
        <v>NL00740026336</v>
      </c>
      <c r="F476" s="1">
        <v>43851</v>
      </c>
      <c r="G476" s="1">
        <v>45678</v>
      </c>
    </row>
    <row r="477" spans="1:7" x14ac:dyDescent="0.25">
      <c r="A477" t="s">
        <v>1506</v>
      </c>
      <c r="B477" t="s">
        <v>1507</v>
      </c>
      <c r="C477" t="s">
        <v>1508</v>
      </c>
      <c r="D477" t="s">
        <v>43</v>
      </c>
      <c r="E477" t="str">
        <f>"NL00740002290"</f>
        <v>NL00740002290</v>
      </c>
      <c r="F477" s="1">
        <v>40940</v>
      </c>
      <c r="G477" s="1">
        <v>44507</v>
      </c>
    </row>
    <row r="478" spans="1:7" x14ac:dyDescent="0.25">
      <c r="A478" t="s">
        <v>1509</v>
      </c>
      <c r="B478" t="s">
        <v>1510</v>
      </c>
      <c r="C478" t="s">
        <v>1511</v>
      </c>
      <c r="D478" t="s">
        <v>148</v>
      </c>
      <c r="E478" t="str">
        <f>"NL00740025383"</f>
        <v>NL00740025383</v>
      </c>
      <c r="F478" s="1">
        <v>43719</v>
      </c>
      <c r="G478" s="1">
        <v>45546</v>
      </c>
    </row>
    <row r="479" spans="1:7" x14ac:dyDescent="0.25">
      <c r="A479" t="s">
        <v>1512</v>
      </c>
      <c r="B479" t="s">
        <v>1513</v>
      </c>
      <c r="C479" t="s">
        <v>1514</v>
      </c>
      <c r="D479" t="s">
        <v>894</v>
      </c>
      <c r="E479" t="str">
        <f>"NL00740018860"</f>
        <v>NL00740018860</v>
      </c>
      <c r="F479" s="1">
        <v>43370</v>
      </c>
      <c r="G479" s="1">
        <v>45196</v>
      </c>
    </row>
    <row r="480" spans="1:7" x14ac:dyDescent="0.25">
      <c r="A480" t="s">
        <v>1515</v>
      </c>
      <c r="B480" t="s">
        <v>1516</v>
      </c>
      <c r="C480" t="s">
        <v>1517</v>
      </c>
      <c r="D480" t="s">
        <v>59</v>
      </c>
      <c r="E480" t="str">
        <f>"NL00740017825"</f>
        <v>NL00740017825</v>
      </c>
      <c r="F480" s="1">
        <v>43245</v>
      </c>
      <c r="G480" s="1">
        <v>45071</v>
      </c>
    </row>
    <row r="481" spans="1:7" x14ac:dyDescent="0.25">
      <c r="A481" t="s">
        <v>1518</v>
      </c>
      <c r="B481" t="s">
        <v>1519</v>
      </c>
      <c r="C481" t="s">
        <v>1520</v>
      </c>
      <c r="D481" t="s">
        <v>10</v>
      </c>
      <c r="E481" t="str">
        <f>"NL00740027715"</f>
        <v>NL00740027715</v>
      </c>
      <c r="F481" s="1">
        <v>44098</v>
      </c>
      <c r="G481" s="1">
        <v>45924</v>
      </c>
    </row>
    <row r="482" spans="1:7" x14ac:dyDescent="0.25">
      <c r="A482" t="s">
        <v>1521</v>
      </c>
      <c r="B482" t="s">
        <v>1522</v>
      </c>
      <c r="C482" t="s">
        <v>1523</v>
      </c>
      <c r="D482" t="s">
        <v>148</v>
      </c>
      <c r="E482" t="str">
        <f>"NL00740019553"</f>
        <v>NL00740019553</v>
      </c>
      <c r="F482" s="1">
        <v>43419</v>
      </c>
      <c r="G482" s="1">
        <v>45245</v>
      </c>
    </row>
    <row r="483" spans="1:7" x14ac:dyDescent="0.25">
      <c r="A483" t="s">
        <v>1524</v>
      </c>
      <c r="B483" t="s">
        <v>1525</v>
      </c>
      <c r="C483" t="s">
        <v>1526</v>
      </c>
      <c r="D483" t="s">
        <v>43</v>
      </c>
      <c r="E483" t="str">
        <f>"NL00740009753"</f>
        <v>NL00740009753</v>
      </c>
      <c r="F483" s="1">
        <v>42303</v>
      </c>
      <c r="G483" s="1">
        <v>44130</v>
      </c>
    </row>
    <row r="484" spans="1:7" x14ac:dyDescent="0.25">
      <c r="A484" t="s">
        <v>1527</v>
      </c>
      <c r="B484" t="s">
        <v>1528</v>
      </c>
      <c r="C484" t="s">
        <v>1529</v>
      </c>
      <c r="D484" t="s">
        <v>48</v>
      </c>
      <c r="E484" t="str">
        <f>"NL00740027238"</f>
        <v>NL00740027238</v>
      </c>
      <c r="F484" s="1">
        <v>44012</v>
      </c>
      <c r="G484" s="1">
        <v>45838</v>
      </c>
    </row>
    <row r="485" spans="1:7" x14ac:dyDescent="0.25">
      <c r="A485" t="s">
        <v>1530</v>
      </c>
      <c r="B485" t="s">
        <v>1531</v>
      </c>
      <c r="C485" t="s">
        <v>51</v>
      </c>
      <c r="D485" t="s">
        <v>52</v>
      </c>
      <c r="E485" t="str">
        <f>"NL00740024442"</f>
        <v>NL00740024442</v>
      </c>
      <c r="F485" s="1">
        <v>43579</v>
      </c>
      <c r="G485" s="1">
        <v>45406</v>
      </c>
    </row>
    <row r="486" spans="1:7" x14ac:dyDescent="0.25">
      <c r="A486" t="s">
        <v>1532</v>
      </c>
      <c r="B486" t="s">
        <v>1533</v>
      </c>
      <c r="C486" t="s">
        <v>1534</v>
      </c>
      <c r="D486" t="s">
        <v>478</v>
      </c>
      <c r="E486" t="str">
        <f>"NL00740009879"</f>
        <v>NL00740009879</v>
      </c>
      <c r="F486" s="1">
        <v>42320</v>
      </c>
      <c r="G486" s="1">
        <v>44147</v>
      </c>
    </row>
    <row r="487" spans="1:7" x14ac:dyDescent="0.25">
      <c r="A487" t="s">
        <v>1535</v>
      </c>
      <c r="B487" t="s">
        <v>1536</v>
      </c>
      <c r="C487" t="s">
        <v>1537</v>
      </c>
      <c r="D487" t="s">
        <v>609</v>
      </c>
      <c r="E487" t="str">
        <f>"NL00740014684"</f>
        <v>NL00740014684</v>
      </c>
      <c r="F487" s="1">
        <v>42808</v>
      </c>
      <c r="G487" s="1">
        <v>44629</v>
      </c>
    </row>
    <row r="488" spans="1:7" x14ac:dyDescent="0.25">
      <c r="A488" t="s">
        <v>1538</v>
      </c>
      <c r="B488" t="s">
        <v>1539</v>
      </c>
      <c r="C488" t="s">
        <v>1540</v>
      </c>
      <c r="D488" t="s">
        <v>1541</v>
      </c>
      <c r="E488" t="str">
        <f>"NL00740010306"</f>
        <v>NL00740010306</v>
      </c>
      <c r="F488" s="1">
        <v>42383</v>
      </c>
      <c r="G488" s="1">
        <v>44210</v>
      </c>
    </row>
    <row r="489" spans="1:7" x14ac:dyDescent="0.25">
      <c r="A489" t="s">
        <v>1542</v>
      </c>
      <c r="B489" t="s">
        <v>1543</v>
      </c>
      <c r="C489" t="s">
        <v>1544</v>
      </c>
      <c r="D489" t="s">
        <v>66</v>
      </c>
      <c r="E489" t="str">
        <f>"NL00740015386"</f>
        <v>NL00740015386</v>
      </c>
      <c r="F489" s="1">
        <v>42915</v>
      </c>
      <c r="G489" s="1">
        <v>44740</v>
      </c>
    </row>
    <row r="490" spans="1:7" x14ac:dyDescent="0.25">
      <c r="A490" t="s">
        <v>1545</v>
      </c>
      <c r="B490" t="s">
        <v>1546</v>
      </c>
      <c r="C490" t="s">
        <v>1547</v>
      </c>
      <c r="D490" t="s">
        <v>1548</v>
      </c>
      <c r="E490" t="str">
        <f>"NL00740018338"</f>
        <v>NL00740018338</v>
      </c>
      <c r="F490" s="1">
        <v>43305</v>
      </c>
      <c r="G490" s="1">
        <v>45131</v>
      </c>
    </row>
    <row r="491" spans="1:7" x14ac:dyDescent="0.25">
      <c r="A491" t="s">
        <v>1549</v>
      </c>
      <c r="B491" t="s">
        <v>1550</v>
      </c>
      <c r="C491" t="s">
        <v>1551</v>
      </c>
      <c r="D491" t="s">
        <v>275</v>
      </c>
      <c r="E491" t="str">
        <f>"NL00740003759"</f>
        <v>NL00740003759</v>
      </c>
      <c r="F491" s="1">
        <v>41061</v>
      </c>
      <c r="G491" s="1">
        <v>44410</v>
      </c>
    </row>
    <row r="492" spans="1:7" x14ac:dyDescent="0.25">
      <c r="A492" t="s">
        <v>1552</v>
      </c>
      <c r="B492" t="s">
        <v>1553</v>
      </c>
      <c r="C492" t="s">
        <v>1554</v>
      </c>
      <c r="D492" t="s">
        <v>1555</v>
      </c>
      <c r="E492" t="str">
        <f>"NL00740027354"</f>
        <v>NL00740027354</v>
      </c>
      <c r="F492" s="1">
        <v>44040</v>
      </c>
      <c r="G492" s="1">
        <v>45866</v>
      </c>
    </row>
    <row r="493" spans="1:7" x14ac:dyDescent="0.25">
      <c r="A493" t="s">
        <v>1556</v>
      </c>
      <c r="B493" t="s">
        <v>1557</v>
      </c>
      <c r="C493" t="s">
        <v>1558</v>
      </c>
      <c r="D493" t="s">
        <v>1559</v>
      </c>
      <c r="E493" t="str">
        <f>"NL00740008897"</f>
        <v>NL00740008897</v>
      </c>
      <c r="F493" s="1">
        <v>42171</v>
      </c>
      <c r="G493" s="1">
        <v>45714</v>
      </c>
    </row>
    <row r="494" spans="1:7" x14ac:dyDescent="0.25">
      <c r="A494" t="s">
        <v>1560</v>
      </c>
      <c r="B494" t="s">
        <v>1561</v>
      </c>
      <c r="C494" t="s">
        <v>1562</v>
      </c>
      <c r="D494" t="s">
        <v>48</v>
      </c>
      <c r="E494" t="str">
        <f>"NL00740026936"</f>
        <v>NL00740026936</v>
      </c>
      <c r="F494" s="1">
        <v>43931</v>
      </c>
      <c r="G494" s="1">
        <v>45757</v>
      </c>
    </row>
    <row r="495" spans="1:7" x14ac:dyDescent="0.25">
      <c r="A495" t="s">
        <v>1563</v>
      </c>
      <c r="B495" t="s">
        <v>1564</v>
      </c>
      <c r="C495" t="s">
        <v>1565</v>
      </c>
      <c r="D495" t="s">
        <v>856</v>
      </c>
      <c r="E495" t="str">
        <f>"NL00740007645"</f>
        <v>NL00740007645</v>
      </c>
      <c r="F495" s="1">
        <v>41960</v>
      </c>
      <c r="G495" s="1">
        <v>45559</v>
      </c>
    </row>
    <row r="496" spans="1:7" x14ac:dyDescent="0.25">
      <c r="A496" t="s">
        <v>1566</v>
      </c>
      <c r="B496" t="s">
        <v>1567</v>
      </c>
      <c r="C496" t="s">
        <v>1568</v>
      </c>
      <c r="D496" t="s">
        <v>253</v>
      </c>
      <c r="E496" t="str">
        <f>"NL00740003423"</f>
        <v>NL00740003423</v>
      </c>
      <c r="F496" s="1">
        <v>41044</v>
      </c>
      <c r="G496" s="1">
        <v>44664</v>
      </c>
    </row>
    <row r="497" spans="1:7" x14ac:dyDescent="0.25">
      <c r="A497" t="s">
        <v>1569</v>
      </c>
      <c r="C497" t="s">
        <v>1570</v>
      </c>
      <c r="D497" t="s">
        <v>66</v>
      </c>
      <c r="E497" t="str">
        <f>"NL00740013462"</f>
        <v>NL00740013462</v>
      </c>
      <c r="F497" s="1">
        <v>42626</v>
      </c>
      <c r="G497" s="1">
        <v>44451</v>
      </c>
    </row>
    <row r="498" spans="1:7" x14ac:dyDescent="0.25">
      <c r="A498" t="s">
        <v>1571</v>
      </c>
      <c r="B498" t="s">
        <v>1572</v>
      </c>
      <c r="C498" t="s">
        <v>1573</v>
      </c>
      <c r="D498" t="s">
        <v>59</v>
      </c>
      <c r="E498" t="str">
        <f>"NL00740024945"</f>
        <v>NL00740024945</v>
      </c>
      <c r="F498" s="1">
        <v>43656</v>
      </c>
      <c r="G498" s="1">
        <v>45483</v>
      </c>
    </row>
    <row r="499" spans="1:7" x14ac:dyDescent="0.25">
      <c r="A499" t="s">
        <v>1574</v>
      </c>
      <c r="B499" t="s">
        <v>1575</v>
      </c>
      <c r="C499" t="s">
        <v>1576</v>
      </c>
      <c r="D499" t="s">
        <v>43</v>
      </c>
      <c r="E499" t="str">
        <f>"NL00740009647"</f>
        <v>NL00740009647</v>
      </c>
      <c r="F499" s="1">
        <v>42286</v>
      </c>
      <c r="G499" s="1">
        <v>45931</v>
      </c>
    </row>
    <row r="500" spans="1:7" x14ac:dyDescent="0.25">
      <c r="A500" t="s">
        <v>1577</v>
      </c>
      <c r="B500" t="s">
        <v>1578</v>
      </c>
      <c r="C500" t="s">
        <v>1579</v>
      </c>
      <c r="D500" t="s">
        <v>1580</v>
      </c>
      <c r="E500" t="str">
        <f>"NL00740025287"</f>
        <v>NL00740025287</v>
      </c>
      <c r="F500" s="1">
        <v>43704</v>
      </c>
      <c r="G500" s="1">
        <v>45531</v>
      </c>
    </row>
    <row r="501" spans="1:7" x14ac:dyDescent="0.25">
      <c r="A501" t="s">
        <v>1581</v>
      </c>
      <c r="B501" t="s">
        <v>1582</v>
      </c>
      <c r="C501" t="s">
        <v>1583</v>
      </c>
      <c r="D501" t="s">
        <v>1584</v>
      </c>
      <c r="E501" t="str">
        <f>"NL00740013809"</f>
        <v>NL00740013809</v>
      </c>
      <c r="F501" s="1">
        <v>42711</v>
      </c>
      <c r="G501" s="1">
        <v>44507</v>
      </c>
    </row>
    <row r="502" spans="1:7" x14ac:dyDescent="0.25">
      <c r="A502" t="s">
        <v>1585</v>
      </c>
      <c r="B502" t="s">
        <v>1586</v>
      </c>
      <c r="C502" t="s">
        <v>988</v>
      </c>
      <c r="D502" t="s">
        <v>52</v>
      </c>
      <c r="E502" t="str">
        <f>"NL00740016814"</f>
        <v>NL00740016814</v>
      </c>
      <c r="F502" s="1">
        <v>43130</v>
      </c>
      <c r="G502" s="1">
        <v>44952</v>
      </c>
    </row>
    <row r="503" spans="1:7" x14ac:dyDescent="0.25">
      <c r="A503" t="s">
        <v>1587</v>
      </c>
      <c r="B503" t="s">
        <v>1588</v>
      </c>
      <c r="C503" t="s">
        <v>1589</v>
      </c>
      <c r="D503" t="s">
        <v>66</v>
      </c>
      <c r="E503" t="str">
        <f>"NL00740020060"</f>
        <v>NL00740020060</v>
      </c>
      <c r="F503" s="1">
        <v>43418</v>
      </c>
      <c r="G503" s="1">
        <v>45244</v>
      </c>
    </row>
    <row r="504" spans="1:7" x14ac:dyDescent="0.25">
      <c r="A504" t="s">
        <v>1590</v>
      </c>
      <c r="C504" t="s">
        <v>1591</v>
      </c>
      <c r="D504" t="s">
        <v>1592</v>
      </c>
      <c r="E504" t="str">
        <f>"NL00740014059"</f>
        <v>NL00740014059</v>
      </c>
      <c r="F504" s="1">
        <v>42716</v>
      </c>
      <c r="G504" s="1">
        <v>44542</v>
      </c>
    </row>
    <row r="505" spans="1:7" x14ac:dyDescent="0.25">
      <c r="A505" t="s">
        <v>1593</v>
      </c>
      <c r="B505" t="s">
        <v>1594</v>
      </c>
      <c r="C505" t="s">
        <v>1595</v>
      </c>
      <c r="D505" t="s">
        <v>1596</v>
      </c>
      <c r="E505" t="str">
        <f>"NL00740025900"</f>
        <v>NL00740025900</v>
      </c>
      <c r="F505" s="1">
        <v>43774</v>
      </c>
      <c r="G505" s="1">
        <v>45600</v>
      </c>
    </row>
    <row r="506" spans="1:7" x14ac:dyDescent="0.25">
      <c r="A506" t="s">
        <v>1597</v>
      </c>
      <c r="B506" t="s">
        <v>1598</v>
      </c>
      <c r="C506" t="s">
        <v>1599</v>
      </c>
      <c r="D506" t="s">
        <v>1291</v>
      </c>
      <c r="E506" t="str">
        <f>"NL00740016183"</f>
        <v>NL00740016183</v>
      </c>
      <c r="F506" s="1">
        <v>43039</v>
      </c>
      <c r="G506" s="1">
        <v>44865</v>
      </c>
    </row>
    <row r="507" spans="1:7" x14ac:dyDescent="0.25">
      <c r="A507" t="s">
        <v>1600</v>
      </c>
      <c r="B507" t="s">
        <v>1601</v>
      </c>
      <c r="C507" t="s">
        <v>1602</v>
      </c>
      <c r="D507" t="s">
        <v>221</v>
      </c>
      <c r="E507" t="str">
        <f>"NL00740009862"</f>
        <v>NL00740009862</v>
      </c>
      <c r="F507" s="1">
        <v>42313</v>
      </c>
      <c r="G507" s="1">
        <v>44140</v>
      </c>
    </row>
    <row r="508" spans="1:7" x14ac:dyDescent="0.25">
      <c r="A508" t="s">
        <v>1603</v>
      </c>
      <c r="B508" t="s">
        <v>1604</v>
      </c>
      <c r="C508" t="s">
        <v>1605</v>
      </c>
      <c r="D508" t="s">
        <v>1606</v>
      </c>
      <c r="E508" t="str">
        <f>"NL00740013476"</f>
        <v>NL00740013476</v>
      </c>
      <c r="F508" s="1">
        <v>42668</v>
      </c>
      <c r="G508" s="1">
        <v>44494</v>
      </c>
    </row>
    <row r="509" spans="1:7" x14ac:dyDescent="0.25">
      <c r="A509" t="s">
        <v>1607</v>
      </c>
      <c r="B509" t="s">
        <v>1608</v>
      </c>
      <c r="C509" t="s">
        <v>1609</v>
      </c>
      <c r="D509" t="s">
        <v>39</v>
      </c>
      <c r="E509" t="str">
        <f>"NL00740005372"</f>
        <v>NL00740005372</v>
      </c>
      <c r="F509" s="1">
        <v>41289</v>
      </c>
      <c r="G509" s="1">
        <v>44857</v>
      </c>
    </row>
    <row r="510" spans="1:7" x14ac:dyDescent="0.25">
      <c r="A510" t="s">
        <v>1610</v>
      </c>
      <c r="B510" t="s">
        <v>1611</v>
      </c>
      <c r="C510" t="s">
        <v>1612</v>
      </c>
      <c r="D510" t="s">
        <v>684</v>
      </c>
      <c r="E510" t="str">
        <f>"NL00740015747"</f>
        <v>NL00740015747</v>
      </c>
      <c r="F510" s="1">
        <v>42970</v>
      </c>
      <c r="G510" s="1">
        <v>44796</v>
      </c>
    </row>
    <row r="511" spans="1:7" x14ac:dyDescent="0.25">
      <c r="A511" t="s">
        <v>1613</v>
      </c>
      <c r="B511" t="s">
        <v>1614</v>
      </c>
      <c r="C511" t="s">
        <v>51</v>
      </c>
      <c r="D511" t="s">
        <v>52</v>
      </c>
      <c r="E511" t="str">
        <f>"NL00740018619"</f>
        <v>NL00740018619</v>
      </c>
      <c r="F511" s="1">
        <v>43340</v>
      </c>
      <c r="G511" s="1">
        <v>45166</v>
      </c>
    </row>
    <row r="512" spans="1:7" x14ac:dyDescent="0.25">
      <c r="A512" t="s">
        <v>1615</v>
      </c>
      <c r="B512" t="s">
        <v>1616</v>
      </c>
      <c r="C512" t="s">
        <v>1617</v>
      </c>
      <c r="D512" t="s">
        <v>1618</v>
      </c>
      <c r="E512" t="str">
        <f>"NL00740317472"</f>
        <v>NL00740317472</v>
      </c>
      <c r="F512" s="1">
        <v>41558</v>
      </c>
      <c r="G512" s="1">
        <v>45155</v>
      </c>
    </row>
    <row r="513" spans="1:7" x14ac:dyDescent="0.25">
      <c r="A513" t="s">
        <v>1619</v>
      </c>
      <c r="B513" t="s">
        <v>1620</v>
      </c>
      <c r="C513" t="s">
        <v>1621</v>
      </c>
      <c r="D513" t="s">
        <v>1622</v>
      </c>
      <c r="E513" t="str">
        <f>"NL00740015006"</f>
        <v>NL00740015006</v>
      </c>
      <c r="F513" s="1">
        <v>42851</v>
      </c>
      <c r="G513" s="1">
        <v>44677</v>
      </c>
    </row>
    <row r="514" spans="1:7" x14ac:dyDescent="0.25">
      <c r="A514" t="s">
        <v>1623</v>
      </c>
      <c r="B514" t="s">
        <v>1624</v>
      </c>
      <c r="C514" t="s">
        <v>1625</v>
      </c>
      <c r="D514" t="s">
        <v>1626</v>
      </c>
      <c r="E514" t="str">
        <f>"NL00740004459"</f>
        <v>NL00740004459</v>
      </c>
      <c r="F514" s="1">
        <v>41153</v>
      </c>
      <c r="G514" s="1">
        <v>44755</v>
      </c>
    </row>
    <row r="515" spans="1:7" x14ac:dyDescent="0.25">
      <c r="A515" t="s">
        <v>1627</v>
      </c>
      <c r="B515" t="s">
        <v>1628</v>
      </c>
      <c r="C515" t="s">
        <v>1629</v>
      </c>
      <c r="D515" t="s">
        <v>384</v>
      </c>
      <c r="E515" t="str">
        <f>"NL00740015765"</f>
        <v>NL00740015765</v>
      </c>
      <c r="F515" s="1">
        <v>42976</v>
      </c>
      <c r="G515" s="1">
        <v>44802</v>
      </c>
    </row>
    <row r="516" spans="1:7" x14ac:dyDescent="0.25">
      <c r="A516" t="s">
        <v>1630</v>
      </c>
      <c r="B516" t="s">
        <v>1631</v>
      </c>
      <c r="C516" t="s">
        <v>1632</v>
      </c>
      <c r="D516" t="s">
        <v>587</v>
      </c>
      <c r="E516" t="str">
        <f>"NL00740010307"</f>
        <v>NL00740010307</v>
      </c>
      <c r="F516" s="1">
        <v>42384</v>
      </c>
      <c r="G516" s="1">
        <v>44211</v>
      </c>
    </row>
    <row r="517" spans="1:7" x14ac:dyDescent="0.25">
      <c r="A517" t="s">
        <v>1633</v>
      </c>
      <c r="B517" t="s">
        <v>1634</v>
      </c>
      <c r="C517" t="s">
        <v>1635</v>
      </c>
      <c r="D517" t="s">
        <v>260</v>
      </c>
      <c r="E517" t="str">
        <f>"NL00740025381"</f>
        <v>NL00740025381</v>
      </c>
      <c r="F517" s="1">
        <v>43719</v>
      </c>
      <c r="G517" s="1">
        <v>45546</v>
      </c>
    </row>
    <row r="518" spans="1:7" x14ac:dyDescent="0.25">
      <c r="A518" t="s">
        <v>1636</v>
      </c>
      <c r="B518" t="s">
        <v>1637</v>
      </c>
      <c r="C518" t="s">
        <v>1638</v>
      </c>
      <c r="D518" t="s">
        <v>148</v>
      </c>
      <c r="E518" t="str">
        <f>"NL00740025941"</f>
        <v>NL00740025941</v>
      </c>
      <c r="F518" s="1">
        <v>43775</v>
      </c>
      <c r="G518" s="1">
        <v>45602</v>
      </c>
    </row>
    <row r="519" spans="1:7" x14ac:dyDescent="0.25">
      <c r="A519" t="s">
        <v>1639</v>
      </c>
      <c r="B519" t="s">
        <v>1640</v>
      </c>
      <c r="C519" t="s">
        <v>1641</v>
      </c>
      <c r="D519" t="s">
        <v>66</v>
      </c>
      <c r="E519" t="str">
        <f>"NL00740004875"</f>
        <v>NL00740004875</v>
      </c>
      <c r="F519" s="1">
        <v>41197</v>
      </c>
      <c r="G519" s="1">
        <v>44811</v>
      </c>
    </row>
    <row r="520" spans="1:7" x14ac:dyDescent="0.25">
      <c r="A520" t="s">
        <v>1642</v>
      </c>
      <c r="B520" t="s">
        <v>1643</v>
      </c>
      <c r="C520" t="s">
        <v>1644</v>
      </c>
      <c r="D520" t="s">
        <v>609</v>
      </c>
      <c r="E520" t="str">
        <f>"NL00740014726"</f>
        <v>NL00740014726</v>
      </c>
      <c r="F520" s="1">
        <v>42811</v>
      </c>
      <c r="G520" s="1">
        <v>44637</v>
      </c>
    </row>
    <row r="521" spans="1:7" x14ac:dyDescent="0.25">
      <c r="A521" t="s">
        <v>1645</v>
      </c>
      <c r="B521" t="s">
        <v>1646</v>
      </c>
      <c r="C521" t="s">
        <v>1647</v>
      </c>
      <c r="D521" t="s">
        <v>1648</v>
      </c>
      <c r="E521" t="str">
        <f>"NL00740019098"</f>
        <v>NL00740019098</v>
      </c>
      <c r="F521" s="1">
        <v>43389</v>
      </c>
      <c r="G521" s="1">
        <v>45215</v>
      </c>
    </row>
    <row r="522" spans="1:7" x14ac:dyDescent="0.25">
      <c r="A522" t="s">
        <v>1649</v>
      </c>
      <c r="B522" t="s">
        <v>1650</v>
      </c>
      <c r="C522" t="s">
        <v>1651</v>
      </c>
      <c r="D522" t="s">
        <v>66</v>
      </c>
      <c r="E522" t="str">
        <f>"NL00740004425"</f>
        <v>NL00740004425</v>
      </c>
      <c r="F522" s="1">
        <v>41153</v>
      </c>
      <c r="G522" s="1">
        <v>44728</v>
      </c>
    </row>
    <row r="523" spans="1:7" x14ac:dyDescent="0.25">
      <c r="A523" t="s">
        <v>1652</v>
      </c>
      <c r="B523" t="s">
        <v>1653</v>
      </c>
      <c r="C523" t="s">
        <v>1102</v>
      </c>
      <c r="D523" t="s">
        <v>47</v>
      </c>
      <c r="E523" t="str">
        <f>"NL00740010044"</f>
        <v>NL00740010044</v>
      </c>
      <c r="F523" s="1">
        <v>42345</v>
      </c>
      <c r="G523" s="1">
        <v>44172</v>
      </c>
    </row>
    <row r="524" spans="1:7" x14ac:dyDescent="0.25">
      <c r="A524" t="s">
        <v>1654</v>
      </c>
      <c r="B524" t="s">
        <v>1655</v>
      </c>
      <c r="C524" t="s">
        <v>1656</v>
      </c>
      <c r="D524" t="s">
        <v>1657</v>
      </c>
      <c r="E524" t="str">
        <f>"NL00740013100"</f>
        <v>NL00740013100</v>
      </c>
      <c r="F524" s="1">
        <v>42578</v>
      </c>
      <c r="G524" s="1">
        <v>44395</v>
      </c>
    </row>
    <row r="525" spans="1:7" x14ac:dyDescent="0.25">
      <c r="A525" t="s">
        <v>1658</v>
      </c>
      <c r="B525" t="s">
        <v>1659</v>
      </c>
      <c r="C525" t="s">
        <v>1660</v>
      </c>
      <c r="D525" t="s">
        <v>39</v>
      </c>
      <c r="E525" t="str">
        <f>"NL00740001745"</f>
        <v>NL00740001745</v>
      </c>
      <c r="F525" s="1">
        <v>40878</v>
      </c>
      <c r="G525" s="1">
        <v>44377</v>
      </c>
    </row>
    <row r="526" spans="1:7" x14ac:dyDescent="0.25">
      <c r="A526" t="s">
        <v>1661</v>
      </c>
      <c r="B526" t="s">
        <v>1662</v>
      </c>
      <c r="C526" t="s">
        <v>1663</v>
      </c>
      <c r="D526" t="s">
        <v>88</v>
      </c>
      <c r="E526" t="str">
        <f>"NL00740016049"</f>
        <v>NL00740016049</v>
      </c>
      <c r="F526" s="1">
        <v>43021</v>
      </c>
      <c r="G526" s="1">
        <v>44847</v>
      </c>
    </row>
    <row r="527" spans="1:7" x14ac:dyDescent="0.25">
      <c r="A527" t="s">
        <v>1664</v>
      </c>
      <c r="B527" t="s">
        <v>1665</v>
      </c>
      <c r="C527" t="s">
        <v>1666</v>
      </c>
      <c r="D527" t="s">
        <v>253</v>
      </c>
      <c r="E527" t="str">
        <f>"NL00740027424"</f>
        <v>NL00740027424</v>
      </c>
      <c r="F527" s="1">
        <v>44053</v>
      </c>
      <c r="G527" s="1">
        <v>45876</v>
      </c>
    </row>
    <row r="528" spans="1:7" x14ac:dyDescent="0.25">
      <c r="A528" t="s">
        <v>1667</v>
      </c>
      <c r="B528" t="s">
        <v>1668</v>
      </c>
      <c r="C528" t="s">
        <v>1669</v>
      </c>
      <c r="D528" t="s">
        <v>1152</v>
      </c>
      <c r="E528" t="str">
        <f>"NL00740024375"</f>
        <v>NL00740024375</v>
      </c>
      <c r="F528" s="1">
        <v>43574</v>
      </c>
    </row>
    <row r="529" spans="1:7" x14ac:dyDescent="0.25">
      <c r="A529" t="s">
        <v>1670</v>
      </c>
      <c r="B529" t="s">
        <v>1671</v>
      </c>
      <c r="C529" t="s">
        <v>1672</v>
      </c>
      <c r="D529" t="s">
        <v>140</v>
      </c>
      <c r="E529" t="str">
        <f>"NL00740324200"</f>
        <v>NL00740324200</v>
      </c>
      <c r="F529" s="1">
        <v>41699</v>
      </c>
      <c r="G529" s="1">
        <v>45365</v>
      </c>
    </row>
    <row r="530" spans="1:7" x14ac:dyDescent="0.25">
      <c r="A530" t="s">
        <v>1673</v>
      </c>
      <c r="B530" t="s">
        <v>1674</v>
      </c>
      <c r="C530" t="s">
        <v>109</v>
      </c>
      <c r="D530" t="s">
        <v>52</v>
      </c>
      <c r="E530" t="str">
        <f>"NL00740027649"</f>
        <v>NL00740027649</v>
      </c>
      <c r="F530" s="1">
        <v>44089</v>
      </c>
      <c r="G530" s="1">
        <v>45915</v>
      </c>
    </row>
    <row r="531" spans="1:7" x14ac:dyDescent="0.25">
      <c r="A531" t="s">
        <v>1675</v>
      </c>
      <c r="B531" t="s">
        <v>1676</v>
      </c>
      <c r="C531" t="s">
        <v>1677</v>
      </c>
      <c r="D531" t="s">
        <v>609</v>
      </c>
      <c r="E531" t="str">
        <f>"NL00740021553"</f>
        <v>NL00740021553</v>
      </c>
      <c r="F531" s="1">
        <v>43467</v>
      </c>
      <c r="G531" s="1">
        <v>45288</v>
      </c>
    </row>
    <row r="532" spans="1:7" x14ac:dyDescent="0.25">
      <c r="A532" t="s">
        <v>1678</v>
      </c>
      <c r="B532" t="s">
        <v>1679</v>
      </c>
      <c r="C532" t="s">
        <v>1680</v>
      </c>
      <c r="D532" t="s">
        <v>126</v>
      </c>
      <c r="E532" t="str">
        <f>"NL00740004130"</f>
        <v>NL00740004130</v>
      </c>
      <c r="F532" s="1">
        <v>41105</v>
      </c>
      <c r="G532" s="1">
        <v>44726</v>
      </c>
    </row>
    <row r="533" spans="1:7" x14ac:dyDescent="0.25">
      <c r="A533" t="s">
        <v>1681</v>
      </c>
      <c r="B533" t="s">
        <v>1682</v>
      </c>
      <c r="C533" t="s">
        <v>1683</v>
      </c>
      <c r="D533" t="s">
        <v>384</v>
      </c>
      <c r="E533" t="str">
        <f>"NL00740015065"</f>
        <v>NL00740015065</v>
      </c>
      <c r="F533" s="1">
        <v>42864</v>
      </c>
      <c r="G533" s="1">
        <v>44689</v>
      </c>
    </row>
    <row r="534" spans="1:7" x14ac:dyDescent="0.25">
      <c r="A534" t="s">
        <v>1684</v>
      </c>
      <c r="B534" t="s">
        <v>1685</v>
      </c>
      <c r="C534" t="s">
        <v>1686</v>
      </c>
      <c r="D534" t="s">
        <v>568</v>
      </c>
      <c r="E534" t="str">
        <f>"NL00740006927"</f>
        <v>NL00740006927</v>
      </c>
      <c r="F534" s="1">
        <v>41844</v>
      </c>
      <c r="G534" s="1">
        <v>45454</v>
      </c>
    </row>
    <row r="535" spans="1:7" x14ac:dyDescent="0.25">
      <c r="A535" t="s">
        <v>1687</v>
      </c>
      <c r="B535" t="s">
        <v>1688</v>
      </c>
      <c r="C535" t="s">
        <v>1689</v>
      </c>
      <c r="D535" t="s">
        <v>52</v>
      </c>
      <c r="E535" t="str">
        <f>"NL00740025942"</f>
        <v>NL00740025942</v>
      </c>
      <c r="F535" s="1">
        <v>43782</v>
      </c>
      <c r="G535" s="1">
        <v>45609</v>
      </c>
    </row>
    <row r="536" spans="1:7" x14ac:dyDescent="0.25">
      <c r="A536" t="s">
        <v>1690</v>
      </c>
      <c r="B536" t="s">
        <v>1691</v>
      </c>
      <c r="C536" t="s">
        <v>1692</v>
      </c>
      <c r="D536" t="s">
        <v>344</v>
      </c>
      <c r="E536" t="str">
        <f>"NL00740024783"</f>
        <v>NL00740024783</v>
      </c>
      <c r="F536" s="1">
        <v>43633</v>
      </c>
      <c r="G536" s="1">
        <v>45457</v>
      </c>
    </row>
    <row r="537" spans="1:7" x14ac:dyDescent="0.25">
      <c r="A537" t="s">
        <v>1693</v>
      </c>
      <c r="B537" t="s">
        <v>1694</v>
      </c>
      <c r="C537" t="s">
        <v>1695</v>
      </c>
      <c r="D537" t="s">
        <v>43</v>
      </c>
      <c r="E537" t="str">
        <f>"NL00740010045"</f>
        <v>NL00740010045</v>
      </c>
      <c r="F537" s="1">
        <v>42345</v>
      </c>
      <c r="G537" s="1">
        <v>44172</v>
      </c>
    </row>
    <row r="538" spans="1:7" x14ac:dyDescent="0.25">
      <c r="A538" t="s">
        <v>1696</v>
      </c>
      <c r="B538" t="s">
        <v>1697</v>
      </c>
      <c r="C538" t="s">
        <v>1698</v>
      </c>
      <c r="D538" t="s">
        <v>1699</v>
      </c>
      <c r="E538" t="str">
        <f>"NL00740009818"</f>
        <v>NL00740009818</v>
      </c>
      <c r="F538" s="1">
        <v>42310</v>
      </c>
      <c r="G538" s="1">
        <v>44137</v>
      </c>
    </row>
    <row r="539" spans="1:7" x14ac:dyDescent="0.25">
      <c r="A539" t="s">
        <v>1700</v>
      </c>
      <c r="B539" t="s">
        <v>1701</v>
      </c>
      <c r="C539" t="s">
        <v>1311</v>
      </c>
      <c r="D539" t="s">
        <v>171</v>
      </c>
      <c r="E539" t="str">
        <f>"NL00740013337"</f>
        <v>NL00740013337</v>
      </c>
      <c r="F539" s="1">
        <v>42620</v>
      </c>
      <c r="G539" s="1">
        <v>44426</v>
      </c>
    </row>
    <row r="540" spans="1:7" x14ac:dyDescent="0.25">
      <c r="A540" t="s">
        <v>1702</v>
      </c>
      <c r="B540" t="s">
        <v>1703</v>
      </c>
      <c r="C540" t="s">
        <v>1704</v>
      </c>
      <c r="D540" t="s">
        <v>1475</v>
      </c>
      <c r="E540" t="str">
        <f>"NL00740013471"</f>
        <v>NL00740013471</v>
      </c>
      <c r="F540" s="1">
        <v>42655</v>
      </c>
    </row>
    <row r="541" spans="1:7" x14ac:dyDescent="0.25">
      <c r="A541" t="s">
        <v>1705</v>
      </c>
      <c r="B541" t="s">
        <v>1706</v>
      </c>
      <c r="C541" t="s">
        <v>1707</v>
      </c>
      <c r="D541" t="s">
        <v>1708</v>
      </c>
      <c r="E541" t="str">
        <f>"NL00740318549"</f>
        <v>NL00740318549</v>
      </c>
      <c r="F541" s="1">
        <v>41609</v>
      </c>
      <c r="G541" s="1">
        <v>45188</v>
      </c>
    </row>
    <row r="542" spans="1:7" x14ac:dyDescent="0.25">
      <c r="A542" t="s">
        <v>1709</v>
      </c>
      <c r="B542" t="s">
        <v>1710</v>
      </c>
      <c r="C542" t="s">
        <v>25</v>
      </c>
      <c r="D542" t="s">
        <v>26</v>
      </c>
      <c r="E542" t="str">
        <f>"NL00740326606"</f>
        <v>NL00740326606</v>
      </c>
      <c r="F542" s="1">
        <v>41744</v>
      </c>
      <c r="G542" s="1">
        <v>45342</v>
      </c>
    </row>
    <row r="543" spans="1:7" x14ac:dyDescent="0.25">
      <c r="A543" t="s">
        <v>1711</v>
      </c>
      <c r="B543" t="s">
        <v>1712</v>
      </c>
      <c r="C543" t="s">
        <v>1713</v>
      </c>
      <c r="D543" t="s">
        <v>324</v>
      </c>
      <c r="E543" t="str">
        <f>"NL00740320451"</f>
        <v>NL00740320451</v>
      </c>
      <c r="F543" s="1">
        <v>41654</v>
      </c>
      <c r="G543" s="1">
        <v>45306</v>
      </c>
    </row>
    <row r="544" spans="1:7" x14ac:dyDescent="0.25">
      <c r="A544" t="s">
        <v>1714</v>
      </c>
      <c r="B544" t="s">
        <v>1715</v>
      </c>
      <c r="C544" t="s">
        <v>1716</v>
      </c>
      <c r="D544" t="s">
        <v>1717</v>
      </c>
      <c r="E544" t="str">
        <f>"NL00740019148"</f>
        <v>NL00740019148</v>
      </c>
      <c r="F544" s="1">
        <v>43389</v>
      </c>
      <c r="G544" s="1">
        <v>45215</v>
      </c>
    </row>
    <row r="545" spans="1:7" x14ac:dyDescent="0.25">
      <c r="A545" t="s">
        <v>1718</v>
      </c>
      <c r="B545" t="s">
        <v>1719</v>
      </c>
      <c r="C545" t="s">
        <v>1720</v>
      </c>
      <c r="D545" t="s">
        <v>10</v>
      </c>
      <c r="E545" t="str">
        <f>"NL00740008248"</f>
        <v>NL00740008248</v>
      </c>
      <c r="F545" s="1">
        <v>42055</v>
      </c>
      <c r="G545" s="1">
        <v>45600</v>
      </c>
    </row>
    <row r="546" spans="1:7" x14ac:dyDescent="0.25">
      <c r="A546" t="s">
        <v>1721</v>
      </c>
      <c r="B546" t="s">
        <v>1722</v>
      </c>
      <c r="C546" t="s">
        <v>1399</v>
      </c>
      <c r="D546" t="s">
        <v>66</v>
      </c>
      <c r="E546" t="str">
        <f>"NL00740024149"</f>
        <v>NL00740024149</v>
      </c>
      <c r="F546" s="1">
        <v>43557</v>
      </c>
      <c r="G546" s="1">
        <v>45384</v>
      </c>
    </row>
    <row r="547" spans="1:7" x14ac:dyDescent="0.25">
      <c r="A547" t="s">
        <v>1723</v>
      </c>
      <c r="B547" t="s">
        <v>1724</v>
      </c>
      <c r="C547" t="s">
        <v>1725</v>
      </c>
      <c r="D547" t="s">
        <v>148</v>
      </c>
      <c r="E547" t="str">
        <f>"NL00740014910"</f>
        <v>NL00740014910</v>
      </c>
      <c r="F547" s="1">
        <v>42837</v>
      </c>
      <c r="G547" s="1">
        <v>44663</v>
      </c>
    </row>
    <row r="548" spans="1:7" x14ac:dyDescent="0.25">
      <c r="A548" t="s">
        <v>1726</v>
      </c>
      <c r="B548" t="s">
        <v>1727</v>
      </c>
      <c r="C548" t="s">
        <v>1728</v>
      </c>
      <c r="D548" t="s">
        <v>14</v>
      </c>
      <c r="E548" t="str">
        <f>"NL00740327463"</f>
        <v>NL00740327463</v>
      </c>
      <c r="F548" s="1">
        <v>41793</v>
      </c>
      <c r="G548" s="1">
        <v>45365</v>
      </c>
    </row>
    <row r="549" spans="1:7" x14ac:dyDescent="0.25">
      <c r="A549" t="s">
        <v>1729</v>
      </c>
      <c r="B549" t="s">
        <v>1730</v>
      </c>
      <c r="C549" t="s">
        <v>1731</v>
      </c>
      <c r="D549" t="s">
        <v>52</v>
      </c>
      <c r="E549" t="str">
        <f>"NL00740074729"</f>
        <v>NL00740074729</v>
      </c>
      <c r="F549" s="1">
        <v>43622</v>
      </c>
      <c r="G549" s="1">
        <v>45449</v>
      </c>
    </row>
    <row r="550" spans="1:7" x14ac:dyDescent="0.25">
      <c r="A550" t="s">
        <v>1732</v>
      </c>
      <c r="B550" t="s">
        <v>1733</v>
      </c>
      <c r="C550" t="s">
        <v>1734</v>
      </c>
      <c r="D550" t="s">
        <v>925</v>
      </c>
      <c r="E550" t="str">
        <f>"NL00740015448"</f>
        <v>NL00740015448</v>
      </c>
      <c r="F550" s="1">
        <v>42923</v>
      </c>
      <c r="G550" s="1">
        <v>44748</v>
      </c>
    </row>
    <row r="551" spans="1:7" x14ac:dyDescent="0.25">
      <c r="A551" t="s">
        <v>1735</v>
      </c>
      <c r="B551" t="s">
        <v>1736</v>
      </c>
      <c r="C551" t="s">
        <v>1737</v>
      </c>
      <c r="D551" t="s">
        <v>449</v>
      </c>
      <c r="E551" t="str">
        <f>"NL00740026937"</f>
        <v>NL00740026937</v>
      </c>
      <c r="F551" s="1">
        <v>43931</v>
      </c>
      <c r="G551" s="1">
        <v>45757</v>
      </c>
    </row>
    <row r="552" spans="1:7" x14ac:dyDescent="0.25">
      <c r="A552" t="s">
        <v>1738</v>
      </c>
      <c r="B552" t="s">
        <v>1739</v>
      </c>
      <c r="C552" t="s">
        <v>1740</v>
      </c>
      <c r="D552" t="s">
        <v>66</v>
      </c>
      <c r="E552" t="str">
        <f>"NL00740018864"</f>
        <v>NL00740018864</v>
      </c>
      <c r="F552" s="1">
        <v>43370</v>
      </c>
      <c r="G552" s="1">
        <v>45196</v>
      </c>
    </row>
    <row r="553" spans="1:7" x14ac:dyDescent="0.25">
      <c r="A553" t="s">
        <v>1741</v>
      </c>
      <c r="B553" t="s">
        <v>1742</v>
      </c>
      <c r="C553" t="s">
        <v>1743</v>
      </c>
      <c r="D553" t="s">
        <v>449</v>
      </c>
      <c r="E553" t="str">
        <f>"NL00740009873"</f>
        <v>NL00740009873</v>
      </c>
      <c r="F553" s="1">
        <v>42320</v>
      </c>
      <c r="G553" s="1">
        <v>44147</v>
      </c>
    </row>
    <row r="554" spans="1:7" x14ac:dyDescent="0.25">
      <c r="A554" t="s">
        <v>1744</v>
      </c>
      <c r="B554" t="s">
        <v>1745</v>
      </c>
      <c r="C554" t="s">
        <v>1746</v>
      </c>
      <c r="D554" t="s">
        <v>1747</v>
      </c>
      <c r="E554" t="str">
        <f>"NL00740012311"</f>
        <v>NL00740012311</v>
      </c>
      <c r="F554" s="1">
        <v>42460</v>
      </c>
      <c r="G554" s="1">
        <v>44285</v>
      </c>
    </row>
    <row r="555" spans="1:7" x14ac:dyDescent="0.25">
      <c r="A555" t="s">
        <v>1748</v>
      </c>
      <c r="B555" t="s">
        <v>1749</v>
      </c>
      <c r="C555" t="s">
        <v>1750</v>
      </c>
      <c r="D555" t="s">
        <v>1751</v>
      </c>
      <c r="E555" t="str">
        <f>"NL00740023553"</f>
        <v>NL00740023553</v>
      </c>
      <c r="F555" s="1">
        <v>43522</v>
      </c>
      <c r="G555" s="1">
        <v>45348</v>
      </c>
    </row>
    <row r="556" spans="1:7" x14ac:dyDescent="0.25">
      <c r="A556" t="s">
        <v>1752</v>
      </c>
      <c r="B556" t="s">
        <v>1753</v>
      </c>
      <c r="C556" t="s">
        <v>1754</v>
      </c>
      <c r="D556" t="s">
        <v>1755</v>
      </c>
      <c r="E556" t="str">
        <f>"NL00740019165"</f>
        <v>NL00740019165</v>
      </c>
      <c r="F556" s="1">
        <v>43390</v>
      </c>
      <c r="G556" s="1">
        <v>45216</v>
      </c>
    </row>
    <row r="557" spans="1:7" x14ac:dyDescent="0.25">
      <c r="A557" t="s">
        <v>1756</v>
      </c>
      <c r="B557" t="s">
        <v>1757</v>
      </c>
      <c r="C557" t="s">
        <v>1758</v>
      </c>
      <c r="D557" t="s">
        <v>1759</v>
      </c>
      <c r="E557" t="str">
        <f>"NL00740012034"</f>
        <v>NL00740012034</v>
      </c>
      <c r="F557" s="1">
        <v>42418</v>
      </c>
      <c r="G557" s="1">
        <v>44245</v>
      </c>
    </row>
    <row r="558" spans="1:7" x14ac:dyDescent="0.25">
      <c r="A558" t="s">
        <v>1760</v>
      </c>
      <c r="B558" t="s">
        <v>1761</v>
      </c>
      <c r="C558" t="s">
        <v>1762</v>
      </c>
      <c r="D558" t="s">
        <v>1125</v>
      </c>
      <c r="E558" t="str">
        <f>"NL00740021848"</f>
        <v>NL00740021848</v>
      </c>
      <c r="F558" s="1">
        <v>43476</v>
      </c>
      <c r="G558" s="1">
        <v>45302</v>
      </c>
    </row>
    <row r="559" spans="1:7" x14ac:dyDescent="0.25">
      <c r="A559" t="s">
        <v>1763</v>
      </c>
      <c r="B559" t="s">
        <v>1764</v>
      </c>
      <c r="C559" t="s">
        <v>1765</v>
      </c>
      <c r="D559" t="s">
        <v>260</v>
      </c>
      <c r="E559" t="str">
        <f>"NL00740027248"</f>
        <v>NL00740027248</v>
      </c>
      <c r="F559" s="1">
        <v>44015</v>
      </c>
      <c r="G559" s="1">
        <v>45841</v>
      </c>
    </row>
    <row r="560" spans="1:7" x14ac:dyDescent="0.25">
      <c r="A560" t="s">
        <v>1766</v>
      </c>
      <c r="B560" t="s">
        <v>1767</v>
      </c>
      <c r="C560" t="s">
        <v>1768</v>
      </c>
      <c r="D560" t="s">
        <v>478</v>
      </c>
      <c r="E560" t="str">
        <f>"NL00740013472"</f>
        <v>NL00740013472</v>
      </c>
      <c r="F560" s="1">
        <v>42655</v>
      </c>
    </row>
    <row r="561" spans="1:7" x14ac:dyDescent="0.25">
      <c r="A561" t="s">
        <v>1769</v>
      </c>
      <c r="B561" t="s">
        <v>1770</v>
      </c>
      <c r="C561" t="s">
        <v>1771</v>
      </c>
      <c r="D561" t="s">
        <v>1772</v>
      </c>
      <c r="E561" t="str">
        <f>"NL00740025617"</f>
        <v>NL00740025617</v>
      </c>
      <c r="F561" s="1">
        <v>43762</v>
      </c>
      <c r="G561" s="1">
        <v>45588</v>
      </c>
    </row>
    <row r="562" spans="1:7" x14ac:dyDescent="0.25">
      <c r="A562" t="s">
        <v>1773</v>
      </c>
      <c r="B562" t="s">
        <v>1774</v>
      </c>
      <c r="C562" t="s">
        <v>1775</v>
      </c>
      <c r="D562" t="s">
        <v>1776</v>
      </c>
      <c r="E562" t="str">
        <f>"NL00740026355"</f>
        <v>NL00740026355</v>
      </c>
      <c r="F562" s="1">
        <v>43858</v>
      </c>
      <c r="G562" s="1">
        <v>45685</v>
      </c>
    </row>
    <row r="563" spans="1:7" x14ac:dyDescent="0.25">
      <c r="A563" t="s">
        <v>1777</v>
      </c>
      <c r="B563" t="s">
        <v>1778</v>
      </c>
      <c r="C563" t="s">
        <v>1779</v>
      </c>
      <c r="D563" t="s">
        <v>1780</v>
      </c>
      <c r="E563" t="str">
        <f>"NL00740027665"</f>
        <v>NL00740027665</v>
      </c>
      <c r="F563" s="1">
        <v>44092</v>
      </c>
      <c r="G563" s="1">
        <v>45918</v>
      </c>
    </row>
    <row r="564" spans="1:7" x14ac:dyDescent="0.25">
      <c r="A564" t="s">
        <v>1781</v>
      </c>
      <c r="B564" t="s">
        <v>1782</v>
      </c>
      <c r="C564" t="s">
        <v>1783</v>
      </c>
      <c r="D564" t="s">
        <v>324</v>
      </c>
      <c r="E564" t="str">
        <f>"NL00740017125"</f>
        <v>NL00740017125</v>
      </c>
      <c r="F564" s="1">
        <v>43175</v>
      </c>
      <c r="G564" s="1">
        <v>45001</v>
      </c>
    </row>
    <row r="565" spans="1:7" x14ac:dyDescent="0.25">
      <c r="A565" t="s">
        <v>1784</v>
      </c>
      <c r="B565" t="s">
        <v>1179</v>
      </c>
      <c r="C565" t="s">
        <v>1180</v>
      </c>
      <c r="D565" t="s">
        <v>1125</v>
      </c>
      <c r="E565" t="str">
        <f>"NL00740016267"</f>
        <v>NL00740016267</v>
      </c>
      <c r="F565" s="1">
        <v>43052</v>
      </c>
      <c r="G565" s="1">
        <v>44878</v>
      </c>
    </row>
    <row r="566" spans="1:7" x14ac:dyDescent="0.25">
      <c r="A566" t="s">
        <v>1785</v>
      </c>
      <c r="B566" t="s">
        <v>1786</v>
      </c>
      <c r="C566" t="s">
        <v>805</v>
      </c>
      <c r="D566" t="s">
        <v>43</v>
      </c>
      <c r="E566" t="str">
        <f>"NL00740010309"</f>
        <v>NL00740010309</v>
      </c>
      <c r="F566" s="1">
        <v>42384</v>
      </c>
      <c r="G566" s="1">
        <v>44211</v>
      </c>
    </row>
    <row r="567" spans="1:7" x14ac:dyDescent="0.25">
      <c r="A567" t="s">
        <v>1787</v>
      </c>
      <c r="B567" t="s">
        <v>1788</v>
      </c>
      <c r="C567" t="s">
        <v>1789</v>
      </c>
      <c r="D567" t="s">
        <v>1050</v>
      </c>
      <c r="E567" t="str">
        <f>"NL00740025303"</f>
        <v>NL00740025303</v>
      </c>
      <c r="F567" s="1">
        <v>43711</v>
      </c>
      <c r="G567" s="1">
        <v>45538</v>
      </c>
    </row>
    <row r="568" spans="1:7" x14ac:dyDescent="0.25">
      <c r="A568" t="s">
        <v>1790</v>
      </c>
      <c r="B568" t="s">
        <v>1791</v>
      </c>
      <c r="C568" t="s">
        <v>1792</v>
      </c>
      <c r="D568" t="s">
        <v>215</v>
      </c>
      <c r="E568" t="str">
        <f>"NL00740002345"</f>
        <v>NL00740002345</v>
      </c>
      <c r="F568" s="1">
        <v>40940</v>
      </c>
      <c r="G568" s="1">
        <v>44503</v>
      </c>
    </row>
    <row r="569" spans="1:7" x14ac:dyDescent="0.25">
      <c r="A569" t="s">
        <v>1793</v>
      </c>
      <c r="B569" t="s">
        <v>1794</v>
      </c>
      <c r="C569" t="s">
        <v>1795</v>
      </c>
      <c r="D569" t="s">
        <v>52</v>
      </c>
      <c r="E569" t="str">
        <f>"NL00740025097"</f>
        <v>NL00740025097</v>
      </c>
      <c r="F569" s="1">
        <v>43796</v>
      </c>
      <c r="G569" s="1">
        <v>45623</v>
      </c>
    </row>
    <row r="570" spans="1:7" x14ac:dyDescent="0.25">
      <c r="A570" t="s">
        <v>1796</v>
      </c>
      <c r="B570" t="s">
        <v>1797</v>
      </c>
      <c r="C570" t="s">
        <v>1798</v>
      </c>
      <c r="D570" t="s">
        <v>66</v>
      </c>
      <c r="E570" t="str">
        <f>"NL00740026107"</f>
        <v>NL00740026107</v>
      </c>
      <c r="F570" s="1">
        <v>43802</v>
      </c>
      <c r="G570" s="1">
        <v>45629</v>
      </c>
    </row>
    <row r="571" spans="1:7" x14ac:dyDescent="0.25">
      <c r="A571" t="s">
        <v>1799</v>
      </c>
      <c r="B571" t="s">
        <v>1800</v>
      </c>
      <c r="C571" t="s">
        <v>395</v>
      </c>
      <c r="D571" t="s">
        <v>88</v>
      </c>
      <c r="E571" t="str">
        <f>"NL00740017393"</f>
        <v>NL00740017393</v>
      </c>
      <c r="F571" s="1">
        <v>43199</v>
      </c>
      <c r="G571" s="1">
        <v>45025</v>
      </c>
    </row>
    <row r="572" spans="1:7" x14ac:dyDescent="0.25">
      <c r="A572" t="s">
        <v>1801</v>
      </c>
      <c r="B572" t="s">
        <v>1802</v>
      </c>
      <c r="C572" t="s">
        <v>1803</v>
      </c>
      <c r="D572" t="s">
        <v>43</v>
      </c>
      <c r="E572" t="str">
        <f>"NL00740006755"</f>
        <v>NL00740006755</v>
      </c>
      <c r="F572" s="1">
        <v>41827</v>
      </c>
      <c r="G572" s="1">
        <v>45475</v>
      </c>
    </row>
    <row r="573" spans="1:7" x14ac:dyDescent="0.25">
      <c r="A573" t="s">
        <v>1804</v>
      </c>
      <c r="B573" t="s">
        <v>1805</v>
      </c>
      <c r="C573" t="s">
        <v>1806</v>
      </c>
      <c r="D573" t="s">
        <v>1177</v>
      </c>
      <c r="E573" t="str">
        <f>"NL00740009820"</f>
        <v>NL00740009820</v>
      </c>
      <c r="F573" s="1">
        <v>42310</v>
      </c>
      <c r="G573" s="1">
        <v>44137</v>
      </c>
    </row>
    <row r="574" spans="1:7" x14ac:dyDescent="0.25">
      <c r="A574" t="s">
        <v>1807</v>
      </c>
      <c r="B574" t="s">
        <v>1808</v>
      </c>
      <c r="C574" t="s">
        <v>1809</v>
      </c>
      <c r="D574" t="s">
        <v>14</v>
      </c>
      <c r="E574" t="str">
        <f>"NL00740018050"</f>
        <v>NL00740018050</v>
      </c>
      <c r="F574" s="1">
        <v>43277</v>
      </c>
      <c r="G574" s="1">
        <v>45103</v>
      </c>
    </row>
    <row r="575" spans="1:7" x14ac:dyDescent="0.25">
      <c r="A575" t="s">
        <v>1810</v>
      </c>
      <c r="B575" t="s">
        <v>1811</v>
      </c>
      <c r="C575" t="s">
        <v>1812</v>
      </c>
      <c r="D575" t="s">
        <v>384</v>
      </c>
      <c r="E575" t="str">
        <f>"NL00740009658"</f>
        <v>NL00740009658</v>
      </c>
      <c r="F575" s="1">
        <v>42284</v>
      </c>
      <c r="G575" s="1">
        <v>45931</v>
      </c>
    </row>
    <row r="576" spans="1:7" x14ac:dyDescent="0.25">
      <c r="A576" t="s">
        <v>1813</v>
      </c>
      <c r="B576" t="s">
        <v>1814</v>
      </c>
      <c r="C576" t="s">
        <v>1815</v>
      </c>
      <c r="D576" t="s">
        <v>1816</v>
      </c>
      <c r="E576" t="str">
        <f>"NL00740006926"</f>
        <v>NL00740006926</v>
      </c>
      <c r="F576" s="1">
        <v>41844</v>
      </c>
      <c r="G576" s="1">
        <v>45407</v>
      </c>
    </row>
    <row r="577" spans="1:7" x14ac:dyDescent="0.25">
      <c r="A577" t="s">
        <v>1817</v>
      </c>
      <c r="C577" t="s">
        <v>13</v>
      </c>
      <c r="D577" t="s">
        <v>1818</v>
      </c>
      <c r="E577" t="str">
        <f>"NL00740014475"</f>
        <v>NL00740014475</v>
      </c>
      <c r="F577" s="1">
        <v>42767</v>
      </c>
      <c r="G577" s="1">
        <v>44593</v>
      </c>
    </row>
    <row r="578" spans="1:7" x14ac:dyDescent="0.25">
      <c r="A578" t="s">
        <v>1819</v>
      </c>
      <c r="B578" t="s">
        <v>1820</v>
      </c>
      <c r="C578" t="s">
        <v>1821</v>
      </c>
      <c r="D578" t="s">
        <v>1210</v>
      </c>
      <c r="E578" t="str">
        <f>"NL00740008153"</f>
        <v>NL00740008153</v>
      </c>
      <c r="F578" s="1">
        <v>42044</v>
      </c>
      <c r="G578" s="1">
        <v>45594</v>
      </c>
    </row>
    <row r="579" spans="1:7" x14ac:dyDescent="0.25">
      <c r="A579" t="s">
        <v>1822</v>
      </c>
      <c r="B579" t="s">
        <v>1823</v>
      </c>
      <c r="C579" t="s">
        <v>1824</v>
      </c>
      <c r="D579" t="s">
        <v>1825</v>
      </c>
      <c r="E579" t="str">
        <f>"NL00740026727"</f>
        <v>NL00740026727</v>
      </c>
      <c r="F579" s="1">
        <v>43889</v>
      </c>
      <c r="G579" s="1">
        <v>45716</v>
      </c>
    </row>
    <row r="580" spans="1:7" x14ac:dyDescent="0.25">
      <c r="A580" t="s">
        <v>1826</v>
      </c>
      <c r="B580" t="s">
        <v>1827</v>
      </c>
      <c r="C580" t="s">
        <v>1828</v>
      </c>
      <c r="D580" t="s">
        <v>1825</v>
      </c>
      <c r="E580" t="str">
        <f>"NL00740015524"</f>
        <v>NL00740015524</v>
      </c>
      <c r="F580" s="1">
        <v>42934</v>
      </c>
      <c r="G580" s="1">
        <v>44759</v>
      </c>
    </row>
    <row r="581" spans="1:7" x14ac:dyDescent="0.25">
      <c r="A581" t="s">
        <v>1829</v>
      </c>
      <c r="B581" t="s">
        <v>1830</v>
      </c>
      <c r="C581" t="s">
        <v>1831</v>
      </c>
      <c r="D581" t="s">
        <v>1356</v>
      </c>
      <c r="E581" t="str">
        <f>"NL00740008593"</f>
        <v>NL00740008593</v>
      </c>
      <c r="F581" s="1">
        <v>42104</v>
      </c>
      <c r="G581" s="1">
        <v>45748</v>
      </c>
    </row>
    <row r="582" spans="1:7" x14ac:dyDescent="0.25">
      <c r="A582" t="s">
        <v>1832</v>
      </c>
      <c r="B582" t="s">
        <v>1833</v>
      </c>
      <c r="C582" t="s">
        <v>1834</v>
      </c>
      <c r="D582" t="s">
        <v>253</v>
      </c>
      <c r="E582" t="str">
        <f>"NL00740025612"</f>
        <v>NL00740025612</v>
      </c>
      <c r="F582" s="1">
        <v>43761</v>
      </c>
      <c r="G582" s="1">
        <v>45587</v>
      </c>
    </row>
    <row r="583" spans="1:7" x14ac:dyDescent="0.25">
      <c r="A583" t="s">
        <v>1835</v>
      </c>
      <c r="B583" t="s">
        <v>1836</v>
      </c>
      <c r="C583" t="s">
        <v>1837</v>
      </c>
      <c r="D583" t="s">
        <v>1751</v>
      </c>
      <c r="E583" t="str">
        <f>"NL00740019345"</f>
        <v>NL00740019345</v>
      </c>
      <c r="F583" s="1">
        <v>43398</v>
      </c>
      <c r="G583" s="1">
        <v>45224</v>
      </c>
    </row>
    <row r="584" spans="1:7" x14ac:dyDescent="0.25">
      <c r="A584" t="s">
        <v>1838</v>
      </c>
      <c r="B584" t="s">
        <v>1839</v>
      </c>
      <c r="C584" t="s">
        <v>174</v>
      </c>
      <c r="D584" t="s">
        <v>66</v>
      </c>
      <c r="E584" t="str">
        <f>"NL00740327406"</f>
        <v>NL00740327406</v>
      </c>
      <c r="F584" s="1">
        <v>41793</v>
      </c>
    </row>
    <row r="585" spans="1:7" x14ac:dyDescent="0.25">
      <c r="A585" t="s">
        <v>1840</v>
      </c>
      <c r="B585" t="s">
        <v>1841</v>
      </c>
      <c r="C585" t="s">
        <v>1842</v>
      </c>
      <c r="D585" t="s">
        <v>148</v>
      </c>
      <c r="E585" t="str">
        <f>"NL00740016244"</f>
        <v>NL00740016244</v>
      </c>
      <c r="F585" s="1">
        <v>43048</v>
      </c>
      <c r="G585" s="1">
        <v>44874</v>
      </c>
    </row>
    <row r="586" spans="1:7" x14ac:dyDescent="0.25">
      <c r="A586" t="s">
        <v>1843</v>
      </c>
      <c r="B586" t="s">
        <v>1844</v>
      </c>
      <c r="C586" t="s">
        <v>1845</v>
      </c>
      <c r="D586" t="s">
        <v>1846</v>
      </c>
      <c r="E586" t="str">
        <f>"NL00740326900"</f>
        <v>NL00740326900</v>
      </c>
      <c r="F586" s="1">
        <v>41768</v>
      </c>
      <c r="G586" s="1">
        <v>45370</v>
      </c>
    </row>
    <row r="587" spans="1:7" x14ac:dyDescent="0.25">
      <c r="A587" t="s">
        <v>1847</v>
      </c>
      <c r="C587" t="s">
        <v>1848</v>
      </c>
      <c r="D587" t="s">
        <v>39</v>
      </c>
      <c r="E587" t="str">
        <f>"NL00740018087"</f>
        <v>NL00740018087</v>
      </c>
      <c r="F587" s="1">
        <v>43278</v>
      </c>
      <c r="G587" s="1">
        <v>45104</v>
      </c>
    </row>
    <row r="588" spans="1:7" x14ac:dyDescent="0.25">
      <c r="A588" t="s">
        <v>1849</v>
      </c>
      <c r="B588" t="s">
        <v>1850</v>
      </c>
      <c r="C588" t="s">
        <v>1851</v>
      </c>
      <c r="D588" t="s">
        <v>520</v>
      </c>
      <c r="E588" t="str">
        <f>"NL00740025109"</f>
        <v>NL00740025109</v>
      </c>
      <c r="F588" s="1">
        <v>43679</v>
      </c>
      <c r="G588" s="1">
        <v>45506</v>
      </c>
    </row>
    <row r="589" spans="1:7" x14ac:dyDescent="0.25">
      <c r="A589" t="s">
        <v>1852</v>
      </c>
      <c r="B589" t="s">
        <v>1853</v>
      </c>
      <c r="C589" t="s">
        <v>1854</v>
      </c>
      <c r="D589" t="s">
        <v>66</v>
      </c>
      <c r="E589" t="str">
        <f>"NL00740016033"</f>
        <v>NL00740016033</v>
      </c>
      <c r="F589" s="1">
        <v>43018</v>
      </c>
      <c r="G589" s="1">
        <v>44844</v>
      </c>
    </row>
    <row r="590" spans="1:7" x14ac:dyDescent="0.25">
      <c r="A590" t="s">
        <v>1855</v>
      </c>
      <c r="B590" t="s">
        <v>1856</v>
      </c>
      <c r="C590" t="s">
        <v>1857</v>
      </c>
      <c r="D590" t="s">
        <v>148</v>
      </c>
      <c r="E590" t="str">
        <f>"NL00740005225"</f>
        <v>NL00740005225</v>
      </c>
      <c r="F590" s="1">
        <v>41275</v>
      </c>
      <c r="G590" s="1">
        <v>44873</v>
      </c>
    </row>
    <row r="591" spans="1:7" x14ac:dyDescent="0.25">
      <c r="A591" t="s">
        <v>1858</v>
      </c>
      <c r="B591" t="s">
        <v>1859</v>
      </c>
      <c r="C591" t="s">
        <v>1860</v>
      </c>
      <c r="D591" t="s">
        <v>88</v>
      </c>
      <c r="E591" t="str">
        <f>"NL00740004385"</f>
        <v>NL00740004385</v>
      </c>
      <c r="F591" s="1">
        <v>41136</v>
      </c>
      <c r="G591" s="1">
        <v>44703</v>
      </c>
    </row>
    <row r="592" spans="1:7" x14ac:dyDescent="0.25">
      <c r="A592" t="s">
        <v>1861</v>
      </c>
      <c r="B592" t="s">
        <v>1862</v>
      </c>
      <c r="C592" t="s">
        <v>1863</v>
      </c>
      <c r="D592" t="s">
        <v>478</v>
      </c>
      <c r="E592" t="str">
        <f>"NL00740326452"</f>
        <v>NL00740326452</v>
      </c>
      <c r="F592" s="1">
        <v>41744</v>
      </c>
      <c r="G592" s="1">
        <v>45352</v>
      </c>
    </row>
    <row r="593" spans="1:7" x14ac:dyDescent="0.25">
      <c r="A593" t="s">
        <v>1864</v>
      </c>
      <c r="B593" t="s">
        <v>1865</v>
      </c>
      <c r="C593" t="s">
        <v>1866</v>
      </c>
      <c r="D593" t="s">
        <v>609</v>
      </c>
      <c r="E593" t="str">
        <f>"NL00740009814"</f>
        <v>NL00740009814</v>
      </c>
      <c r="F593" s="1">
        <v>42310</v>
      </c>
      <c r="G593" s="1">
        <v>44137</v>
      </c>
    </row>
    <row r="594" spans="1:7" x14ac:dyDescent="0.25">
      <c r="A594" t="s">
        <v>1867</v>
      </c>
      <c r="B594" t="s">
        <v>1868</v>
      </c>
      <c r="C594" t="s">
        <v>1869</v>
      </c>
      <c r="D594" t="s">
        <v>43</v>
      </c>
      <c r="E594" t="str">
        <f>"NL00740001996"</f>
        <v>NL00740001996</v>
      </c>
      <c r="F594" s="1">
        <v>40909</v>
      </c>
      <c r="G594" s="1">
        <v>44514</v>
      </c>
    </row>
    <row r="595" spans="1:7" x14ac:dyDescent="0.25">
      <c r="A595" t="s">
        <v>1870</v>
      </c>
      <c r="B595" t="s">
        <v>1871</v>
      </c>
      <c r="C595" t="s">
        <v>1872</v>
      </c>
      <c r="D595" t="s">
        <v>1210</v>
      </c>
      <c r="E595" t="str">
        <f>"NL00740024487"</f>
        <v>NL00740024487</v>
      </c>
      <c r="F595" s="1">
        <v>43586</v>
      </c>
      <c r="G595" s="1">
        <v>45413</v>
      </c>
    </row>
    <row r="596" spans="1:7" x14ac:dyDescent="0.25">
      <c r="A596" t="s">
        <v>1873</v>
      </c>
      <c r="B596" t="s">
        <v>1874</v>
      </c>
      <c r="C596" t="s">
        <v>1875</v>
      </c>
      <c r="D596" t="s">
        <v>1876</v>
      </c>
      <c r="E596" t="str">
        <f>"NL00740317770"</f>
        <v>NL00740317770</v>
      </c>
      <c r="F596" s="1">
        <v>41590</v>
      </c>
      <c r="G596" s="1">
        <v>45140</v>
      </c>
    </row>
    <row r="597" spans="1:7" x14ac:dyDescent="0.25">
      <c r="A597" t="s">
        <v>1877</v>
      </c>
      <c r="B597" t="s">
        <v>1878</v>
      </c>
      <c r="C597" t="s">
        <v>1879</v>
      </c>
      <c r="D597" t="s">
        <v>88</v>
      </c>
      <c r="E597" t="str">
        <f>"NL00740025420"</f>
        <v>NL00740025420</v>
      </c>
      <c r="F597" s="1">
        <v>43725</v>
      </c>
      <c r="G597" s="1">
        <v>45552</v>
      </c>
    </row>
    <row r="598" spans="1:7" x14ac:dyDescent="0.25">
      <c r="A598" t="s">
        <v>1880</v>
      </c>
      <c r="B598" t="s">
        <v>1881</v>
      </c>
      <c r="C598" t="s">
        <v>1882</v>
      </c>
      <c r="D598" t="s">
        <v>48</v>
      </c>
      <c r="E598" t="str">
        <f>"NL00740016221"</f>
        <v>NL00740016221</v>
      </c>
      <c r="F598" s="1">
        <v>43046</v>
      </c>
      <c r="G598" s="1">
        <v>44872</v>
      </c>
    </row>
    <row r="599" spans="1:7" x14ac:dyDescent="0.25">
      <c r="A599" t="s">
        <v>1883</v>
      </c>
      <c r="B599" t="s">
        <v>1884</v>
      </c>
      <c r="C599" t="s">
        <v>1885</v>
      </c>
      <c r="D599" t="s">
        <v>10</v>
      </c>
      <c r="E599" t="str">
        <f>"NL00740018845"</f>
        <v>NL00740018845</v>
      </c>
      <c r="F599" s="1">
        <v>43368</v>
      </c>
      <c r="G599" s="1">
        <v>45194</v>
      </c>
    </row>
    <row r="600" spans="1:7" x14ac:dyDescent="0.25">
      <c r="A600" t="s">
        <v>1886</v>
      </c>
      <c r="B600" t="s">
        <v>1887</v>
      </c>
      <c r="C600" t="s">
        <v>1888</v>
      </c>
      <c r="D600" t="s">
        <v>1889</v>
      </c>
      <c r="E600" t="str">
        <f>"NL00740014946"</f>
        <v>NL00740014946</v>
      </c>
      <c r="F600" s="1">
        <v>42850</v>
      </c>
      <c r="G600" s="1">
        <v>44670</v>
      </c>
    </row>
    <row r="601" spans="1:7" x14ac:dyDescent="0.25">
      <c r="A601" t="s">
        <v>1890</v>
      </c>
      <c r="B601" t="s">
        <v>1891</v>
      </c>
      <c r="C601" t="s">
        <v>1892</v>
      </c>
      <c r="D601" t="s">
        <v>43</v>
      </c>
      <c r="E601" t="str">
        <f>"NL00740012324"</f>
        <v>NL00740012324</v>
      </c>
      <c r="F601" s="1">
        <v>42461</v>
      </c>
      <c r="G601" s="1">
        <v>44287</v>
      </c>
    </row>
    <row r="602" spans="1:7" x14ac:dyDescent="0.25">
      <c r="A602" t="s">
        <v>1893</v>
      </c>
      <c r="B602" t="s">
        <v>1894</v>
      </c>
      <c r="C602" t="s">
        <v>1895</v>
      </c>
      <c r="D602" t="s">
        <v>14</v>
      </c>
      <c r="E602" t="str">
        <f>"NL00740001158"</f>
        <v>NL00740001158</v>
      </c>
      <c r="F602" s="1">
        <v>40770</v>
      </c>
      <c r="G602" s="1">
        <v>44367</v>
      </c>
    </row>
    <row r="603" spans="1:7" x14ac:dyDescent="0.25">
      <c r="A603" t="s">
        <v>1896</v>
      </c>
      <c r="B603" t="s">
        <v>1897</v>
      </c>
      <c r="C603" t="s">
        <v>1898</v>
      </c>
      <c r="D603" t="s">
        <v>1580</v>
      </c>
      <c r="E603" t="str">
        <f>"NL00740026241"</f>
        <v>NL00740026241</v>
      </c>
      <c r="F603" s="1">
        <v>43819</v>
      </c>
      <c r="G603" s="1">
        <v>45646</v>
      </c>
    </row>
    <row r="604" spans="1:7" x14ac:dyDescent="0.25">
      <c r="A604" t="s">
        <v>1899</v>
      </c>
      <c r="B604" t="s">
        <v>1900</v>
      </c>
      <c r="C604" t="s">
        <v>1901</v>
      </c>
      <c r="D604" t="s">
        <v>39</v>
      </c>
      <c r="E604" t="str">
        <f>"NL00740008704"</f>
        <v>NL00740008704</v>
      </c>
      <c r="F604" s="1">
        <v>43888</v>
      </c>
      <c r="G604" s="1">
        <v>45715</v>
      </c>
    </row>
    <row r="605" spans="1:7" x14ac:dyDescent="0.25">
      <c r="A605" t="s">
        <v>1902</v>
      </c>
      <c r="B605" t="s">
        <v>1903</v>
      </c>
      <c r="C605" t="s">
        <v>1904</v>
      </c>
      <c r="D605" t="s">
        <v>10</v>
      </c>
      <c r="E605" t="str">
        <f>"NL00740010437"</f>
        <v>NL00740010437</v>
      </c>
      <c r="F605" s="1">
        <v>42410</v>
      </c>
      <c r="G605" s="1">
        <v>44237</v>
      </c>
    </row>
    <row r="606" spans="1:7" x14ac:dyDescent="0.25">
      <c r="A606" t="s">
        <v>1905</v>
      </c>
      <c r="B606" t="s">
        <v>1906</v>
      </c>
      <c r="C606" t="s">
        <v>1907</v>
      </c>
      <c r="D606" t="s">
        <v>238</v>
      </c>
      <c r="E606" t="str">
        <f>"NL00740001526"</f>
        <v>NL00740001526</v>
      </c>
      <c r="F606" s="1">
        <v>40854</v>
      </c>
      <c r="G606" s="1">
        <v>44399</v>
      </c>
    </row>
    <row r="607" spans="1:7" x14ac:dyDescent="0.25">
      <c r="A607" t="s">
        <v>1908</v>
      </c>
      <c r="B607" t="s">
        <v>1909</v>
      </c>
      <c r="C607" t="s">
        <v>1910</v>
      </c>
      <c r="D607" t="s">
        <v>320</v>
      </c>
      <c r="E607" t="str">
        <f>"NL00740014768"</f>
        <v>NL00740014768</v>
      </c>
      <c r="F607" s="1">
        <v>42822</v>
      </c>
      <c r="G607" s="1">
        <v>44644</v>
      </c>
    </row>
    <row r="608" spans="1:7" x14ac:dyDescent="0.25">
      <c r="A608" t="s">
        <v>1911</v>
      </c>
      <c r="B608" t="s">
        <v>1912</v>
      </c>
      <c r="C608" t="s">
        <v>1913</v>
      </c>
      <c r="D608" t="s">
        <v>43</v>
      </c>
      <c r="E608" t="str">
        <f>"NL00740002295"</f>
        <v>NL00740002295</v>
      </c>
      <c r="F608" s="1">
        <v>40940</v>
      </c>
      <c r="G608" s="1">
        <v>44510</v>
      </c>
    </row>
    <row r="609" spans="1:7" x14ac:dyDescent="0.25">
      <c r="A609" t="s">
        <v>1914</v>
      </c>
      <c r="B609" t="s">
        <v>1915</v>
      </c>
      <c r="C609" t="s">
        <v>1916</v>
      </c>
      <c r="D609" t="s">
        <v>1708</v>
      </c>
      <c r="E609" t="str">
        <f>"NL00740027318"</f>
        <v>NL00740027318</v>
      </c>
      <c r="F609" s="1">
        <v>44029</v>
      </c>
      <c r="G609" s="1">
        <v>45855</v>
      </c>
    </row>
    <row r="610" spans="1:7" x14ac:dyDescent="0.25">
      <c r="A610" t="s">
        <v>1917</v>
      </c>
      <c r="B610" t="s">
        <v>1918</v>
      </c>
      <c r="C610" t="s">
        <v>1919</v>
      </c>
      <c r="D610" t="s">
        <v>66</v>
      </c>
      <c r="E610" t="str">
        <f>"NL00740014683"</f>
        <v>NL00740014683</v>
      </c>
      <c r="F610" s="1">
        <v>42808</v>
      </c>
      <c r="G610" s="1">
        <v>44629</v>
      </c>
    </row>
    <row r="611" spans="1:7" x14ac:dyDescent="0.25">
      <c r="A611" t="s">
        <v>1920</v>
      </c>
      <c r="B611" t="s">
        <v>1921</v>
      </c>
      <c r="C611" t="s">
        <v>1922</v>
      </c>
      <c r="D611" t="s">
        <v>260</v>
      </c>
      <c r="E611" t="str">
        <f>"NL00740015797"</f>
        <v>NL00740015797</v>
      </c>
      <c r="F611" s="1">
        <v>42979</v>
      </c>
      <c r="G611" s="1">
        <v>44805</v>
      </c>
    </row>
    <row r="612" spans="1:7" x14ac:dyDescent="0.25">
      <c r="A612" t="s">
        <v>1923</v>
      </c>
      <c r="B612" t="s">
        <v>1924</v>
      </c>
      <c r="C612" t="s">
        <v>644</v>
      </c>
      <c r="D612" t="s">
        <v>47</v>
      </c>
      <c r="E612" t="str">
        <f>"NL00740014917"</f>
        <v>NL00740014917</v>
      </c>
      <c r="F612" s="1">
        <v>42838</v>
      </c>
      <c r="G612" s="1">
        <v>44664</v>
      </c>
    </row>
    <row r="613" spans="1:7" x14ac:dyDescent="0.25">
      <c r="A613" t="s">
        <v>1925</v>
      </c>
      <c r="B613" t="s">
        <v>1926</v>
      </c>
      <c r="C613" t="s">
        <v>1927</v>
      </c>
      <c r="D613" t="s">
        <v>79</v>
      </c>
      <c r="E613" t="str">
        <f>"NL00740024698"</f>
        <v>NL00740024698</v>
      </c>
      <c r="F613" s="1">
        <v>43622</v>
      </c>
      <c r="G613" s="1">
        <v>45447</v>
      </c>
    </row>
    <row r="614" spans="1:7" x14ac:dyDescent="0.25">
      <c r="A614" t="s">
        <v>1928</v>
      </c>
      <c r="B614" t="s">
        <v>1929</v>
      </c>
      <c r="C614" t="s">
        <v>99</v>
      </c>
      <c r="D614" t="s">
        <v>52</v>
      </c>
      <c r="E614" t="str">
        <f>"NL00740002546"</f>
        <v>NL00740002546</v>
      </c>
      <c r="F614" s="1">
        <v>40969</v>
      </c>
      <c r="G614" s="1">
        <v>44580</v>
      </c>
    </row>
    <row r="615" spans="1:7" x14ac:dyDescent="0.25">
      <c r="A615" t="s">
        <v>1930</v>
      </c>
      <c r="B615" t="s">
        <v>1931</v>
      </c>
      <c r="C615" t="s">
        <v>1128</v>
      </c>
      <c r="D615" t="s">
        <v>148</v>
      </c>
      <c r="E615" t="str">
        <f>"NL00740026593"</f>
        <v>NL00740026593</v>
      </c>
      <c r="F615" s="1">
        <v>43880</v>
      </c>
      <c r="G615" s="1">
        <v>45707</v>
      </c>
    </row>
    <row r="616" spans="1:7" x14ac:dyDescent="0.25">
      <c r="A616" t="s">
        <v>1932</v>
      </c>
      <c r="B616" t="s">
        <v>1933</v>
      </c>
      <c r="C616" t="s">
        <v>1551</v>
      </c>
      <c r="D616" t="s">
        <v>275</v>
      </c>
      <c r="E616" t="str">
        <f>"NL00740015385"</f>
        <v>NL00740015385</v>
      </c>
      <c r="F616" s="1">
        <v>42915</v>
      </c>
      <c r="G616" s="1">
        <v>44740</v>
      </c>
    </row>
    <row r="617" spans="1:7" x14ac:dyDescent="0.25">
      <c r="A617" t="s">
        <v>1934</v>
      </c>
      <c r="B617" t="s">
        <v>1935</v>
      </c>
      <c r="C617" t="s">
        <v>1936</v>
      </c>
      <c r="D617" t="s">
        <v>88</v>
      </c>
      <c r="E617" t="str">
        <f>"NL00740006774"</f>
        <v>NL00740006774</v>
      </c>
      <c r="F617" s="1">
        <v>41829</v>
      </c>
      <c r="G617" s="1">
        <v>45454</v>
      </c>
    </row>
    <row r="618" spans="1:7" x14ac:dyDescent="0.25">
      <c r="A618" t="s">
        <v>1937</v>
      </c>
      <c r="B618" t="s">
        <v>1938</v>
      </c>
      <c r="C618" t="s">
        <v>1939</v>
      </c>
      <c r="D618" t="s">
        <v>73</v>
      </c>
      <c r="E618" t="str">
        <f>"NL00740010441"</f>
        <v>NL00740010441</v>
      </c>
      <c r="F618" s="1">
        <v>42415</v>
      </c>
      <c r="G618" s="1">
        <v>44242</v>
      </c>
    </row>
    <row r="619" spans="1:7" x14ac:dyDescent="0.25">
      <c r="A619" t="s">
        <v>1940</v>
      </c>
      <c r="B619" t="s">
        <v>1941</v>
      </c>
      <c r="C619" t="s">
        <v>1942</v>
      </c>
      <c r="D619" t="s">
        <v>43</v>
      </c>
      <c r="E619" t="str">
        <f>"NL00740005035"</f>
        <v>NL00740005035</v>
      </c>
      <c r="F619" s="1">
        <v>41228</v>
      </c>
      <c r="G619" s="1">
        <v>44836</v>
      </c>
    </row>
    <row r="620" spans="1:7" x14ac:dyDescent="0.25">
      <c r="A620" t="s">
        <v>1943</v>
      </c>
      <c r="B620" t="s">
        <v>1944</v>
      </c>
      <c r="C620" t="s">
        <v>1945</v>
      </c>
      <c r="D620" t="s">
        <v>568</v>
      </c>
      <c r="E620" t="str">
        <f>"NL00740010305"</f>
        <v>NL00740010305</v>
      </c>
      <c r="F620" s="1">
        <v>42384</v>
      </c>
      <c r="G620" s="1">
        <v>44211</v>
      </c>
    </row>
    <row r="621" spans="1:7" x14ac:dyDescent="0.25">
      <c r="A621" t="s">
        <v>1946</v>
      </c>
      <c r="B621" t="s">
        <v>1947</v>
      </c>
      <c r="C621" t="s">
        <v>1948</v>
      </c>
      <c r="D621" t="s">
        <v>568</v>
      </c>
      <c r="E621" t="str">
        <f>"NL00740016835"</f>
        <v>NL00740016835</v>
      </c>
      <c r="F621" s="1">
        <v>43131</v>
      </c>
      <c r="G621" s="1">
        <v>44956</v>
      </c>
    </row>
    <row r="622" spans="1:7" x14ac:dyDescent="0.25">
      <c r="A622" t="s">
        <v>1949</v>
      </c>
      <c r="B622" t="s">
        <v>1950</v>
      </c>
      <c r="C622" t="s">
        <v>1951</v>
      </c>
      <c r="D622" t="s">
        <v>1952</v>
      </c>
      <c r="E622" t="str">
        <f>"NL00740018549"</f>
        <v>NL00740018549</v>
      </c>
      <c r="F622" s="1">
        <v>43328</v>
      </c>
      <c r="G622" s="1">
        <v>45154</v>
      </c>
    </row>
    <row r="623" spans="1:7" x14ac:dyDescent="0.25">
      <c r="A623" t="s">
        <v>1953</v>
      </c>
      <c r="B623" t="s">
        <v>1954</v>
      </c>
      <c r="C623" t="s">
        <v>1955</v>
      </c>
      <c r="D623" t="s">
        <v>126</v>
      </c>
      <c r="E623" t="str">
        <f>"NL00740002242"</f>
        <v>NL00740002242</v>
      </c>
      <c r="F623" s="1">
        <v>40909</v>
      </c>
      <c r="G623" s="1">
        <v>44514</v>
      </c>
    </row>
    <row r="624" spans="1:7" x14ac:dyDescent="0.25">
      <c r="A624" t="s">
        <v>1956</v>
      </c>
      <c r="B624" t="s">
        <v>1957</v>
      </c>
      <c r="C624" t="s">
        <v>1958</v>
      </c>
      <c r="D624" t="s">
        <v>78</v>
      </c>
      <c r="E624" t="str">
        <f>"NL00740006634"</f>
        <v>NL00740006634</v>
      </c>
      <c r="F624" s="1">
        <v>41807</v>
      </c>
      <c r="G624" s="1">
        <v>45471</v>
      </c>
    </row>
    <row r="625" spans="1:7" x14ac:dyDescent="0.25">
      <c r="A625" t="s">
        <v>1959</v>
      </c>
      <c r="B625" t="s">
        <v>1960</v>
      </c>
      <c r="C625" t="s">
        <v>1961</v>
      </c>
      <c r="D625" t="s">
        <v>478</v>
      </c>
      <c r="E625" t="str">
        <f>"NL00740015804"</f>
        <v>NL00740015804</v>
      </c>
      <c r="F625" s="1">
        <v>42982</v>
      </c>
      <c r="G625" s="1">
        <v>44808</v>
      </c>
    </row>
    <row r="626" spans="1:7" x14ac:dyDescent="0.25">
      <c r="A626" t="s">
        <v>1962</v>
      </c>
      <c r="B626" t="s">
        <v>1963</v>
      </c>
      <c r="C626" t="s">
        <v>1964</v>
      </c>
      <c r="D626" t="s">
        <v>52</v>
      </c>
      <c r="E626" t="str">
        <f>"NL00740004441"</f>
        <v>NL00740004441</v>
      </c>
      <c r="F626" s="1">
        <v>41153</v>
      </c>
      <c r="G626" s="1">
        <v>44766</v>
      </c>
    </row>
    <row r="627" spans="1:7" x14ac:dyDescent="0.25">
      <c r="A627" t="s">
        <v>1965</v>
      </c>
      <c r="B627" t="s">
        <v>1966</v>
      </c>
      <c r="C627" t="s">
        <v>1967</v>
      </c>
      <c r="D627" t="s">
        <v>1968</v>
      </c>
      <c r="E627" t="str">
        <f>"NL00740014829"</f>
        <v>NL00740014829</v>
      </c>
      <c r="F627" s="1">
        <v>42825</v>
      </c>
      <c r="G627" s="1">
        <v>44651</v>
      </c>
    </row>
    <row r="628" spans="1:7" x14ac:dyDescent="0.25">
      <c r="A628" t="s">
        <v>1969</v>
      </c>
      <c r="B628" t="s">
        <v>1970</v>
      </c>
      <c r="C628" t="s">
        <v>1971</v>
      </c>
      <c r="D628" t="s">
        <v>66</v>
      </c>
      <c r="E628" t="str">
        <f>"NL00740007667"</f>
        <v>NL00740007667</v>
      </c>
      <c r="F628" s="1">
        <v>41963</v>
      </c>
      <c r="G628" s="1">
        <v>45532</v>
      </c>
    </row>
    <row r="629" spans="1:7" x14ac:dyDescent="0.25">
      <c r="A629" t="s">
        <v>1972</v>
      </c>
      <c r="B629" t="s">
        <v>1973</v>
      </c>
      <c r="C629" t="s">
        <v>1082</v>
      </c>
      <c r="D629" t="s">
        <v>39</v>
      </c>
      <c r="E629" t="str">
        <f>"NL00740005943"</f>
        <v>NL00740005943</v>
      </c>
      <c r="F629" s="1">
        <v>41365</v>
      </c>
      <c r="G629" s="1">
        <v>44950</v>
      </c>
    </row>
    <row r="630" spans="1:7" x14ac:dyDescent="0.25">
      <c r="A630" t="s">
        <v>1974</v>
      </c>
      <c r="B630" t="s">
        <v>1975</v>
      </c>
      <c r="C630" t="s">
        <v>1976</v>
      </c>
      <c r="D630" t="s">
        <v>1210</v>
      </c>
      <c r="E630" t="str">
        <f>"NL00740017793"</f>
        <v>NL00740017793</v>
      </c>
      <c r="F630" s="1">
        <v>43243</v>
      </c>
      <c r="G630" s="1">
        <v>45069</v>
      </c>
    </row>
    <row r="631" spans="1:7" x14ac:dyDescent="0.25">
      <c r="A631" t="s">
        <v>1977</v>
      </c>
      <c r="B631" t="s">
        <v>1582</v>
      </c>
      <c r="C631" t="s">
        <v>1583</v>
      </c>
      <c r="D631" t="s">
        <v>1584</v>
      </c>
      <c r="E631" t="str">
        <f>"NL00740013810"</f>
        <v>NL00740013810</v>
      </c>
      <c r="F631" s="1">
        <v>42711</v>
      </c>
      <c r="G631" s="1">
        <v>44507</v>
      </c>
    </row>
    <row r="632" spans="1:7" x14ac:dyDescent="0.25">
      <c r="A632" t="s">
        <v>1978</v>
      </c>
      <c r="B632" t="s">
        <v>1979</v>
      </c>
      <c r="C632" t="s">
        <v>1070</v>
      </c>
      <c r="D632" t="s">
        <v>1071</v>
      </c>
      <c r="E632" t="str">
        <f>"NL00740317454"</f>
        <v>NL00740317454</v>
      </c>
      <c r="F632" s="1">
        <v>41532</v>
      </c>
      <c r="G632" s="1">
        <v>45140</v>
      </c>
    </row>
    <row r="633" spans="1:7" x14ac:dyDescent="0.25">
      <c r="A633" t="s">
        <v>1980</v>
      </c>
      <c r="B633" t="s">
        <v>1981</v>
      </c>
      <c r="C633" t="s">
        <v>1982</v>
      </c>
      <c r="D633" t="s">
        <v>384</v>
      </c>
      <c r="E633" t="str">
        <f>"NL00740015796"</f>
        <v>NL00740015796</v>
      </c>
      <c r="F633" s="1">
        <v>42979</v>
      </c>
      <c r="G633" s="1">
        <v>44805</v>
      </c>
    </row>
    <row r="634" spans="1:7" x14ac:dyDescent="0.25">
      <c r="A634" t="s">
        <v>1983</v>
      </c>
      <c r="B634" t="s">
        <v>1984</v>
      </c>
      <c r="C634" t="s">
        <v>1985</v>
      </c>
      <c r="D634" t="s">
        <v>39</v>
      </c>
      <c r="E634" t="str">
        <f>"NL00740025218"</f>
        <v>NL00740025218</v>
      </c>
      <c r="F634" s="1">
        <v>43692</v>
      </c>
      <c r="G634" s="1">
        <v>45519</v>
      </c>
    </row>
    <row r="635" spans="1:7" x14ac:dyDescent="0.25">
      <c r="A635" t="s">
        <v>1986</v>
      </c>
      <c r="B635" t="s">
        <v>1987</v>
      </c>
      <c r="C635" t="s">
        <v>1988</v>
      </c>
      <c r="D635" t="s">
        <v>348</v>
      </c>
      <c r="E635" t="str">
        <f>"NL00740015064"</f>
        <v>NL00740015064</v>
      </c>
      <c r="F635" s="1">
        <v>42864</v>
      </c>
      <c r="G635" s="1">
        <v>44689</v>
      </c>
    </row>
    <row r="636" spans="1:7" x14ac:dyDescent="0.25">
      <c r="A636" t="s">
        <v>1989</v>
      </c>
      <c r="B636" t="s">
        <v>1990</v>
      </c>
      <c r="C636" t="s">
        <v>1795</v>
      </c>
      <c r="D636" t="s">
        <v>52</v>
      </c>
      <c r="E636" t="str">
        <f>"NL00740025984"</f>
        <v>NL00740025984</v>
      </c>
      <c r="F636" s="1">
        <v>43782</v>
      </c>
      <c r="G636" s="1">
        <v>45609</v>
      </c>
    </row>
    <row r="637" spans="1:7" x14ac:dyDescent="0.25">
      <c r="A637" t="s">
        <v>1991</v>
      </c>
      <c r="B637" t="s">
        <v>1992</v>
      </c>
      <c r="C637" t="s">
        <v>1993</v>
      </c>
      <c r="D637" t="s">
        <v>1994</v>
      </c>
      <c r="E637" t="str">
        <f>"NL00740014233"</f>
        <v>NL00740014233</v>
      </c>
      <c r="F637" s="1">
        <v>42744</v>
      </c>
      <c r="G637" s="1">
        <v>44566</v>
      </c>
    </row>
    <row r="638" spans="1:7" x14ac:dyDescent="0.25">
      <c r="A638" t="s">
        <v>1995</v>
      </c>
      <c r="B638" t="s">
        <v>1996</v>
      </c>
      <c r="C638" t="s">
        <v>327</v>
      </c>
      <c r="D638" t="s">
        <v>126</v>
      </c>
      <c r="E638" t="str">
        <f>"NL00740008497"</f>
        <v>NL00740008497</v>
      </c>
      <c r="F638" s="1">
        <v>42093</v>
      </c>
      <c r="G638" s="1">
        <v>45706</v>
      </c>
    </row>
    <row r="639" spans="1:7" x14ac:dyDescent="0.25">
      <c r="A639" t="s">
        <v>1997</v>
      </c>
      <c r="B639" t="s">
        <v>1998</v>
      </c>
      <c r="C639" t="s">
        <v>1999</v>
      </c>
      <c r="D639" t="s">
        <v>260</v>
      </c>
      <c r="E639" t="str">
        <f>"NL00740009646"</f>
        <v>NL00740009646</v>
      </c>
      <c r="F639" s="1">
        <v>42286</v>
      </c>
      <c r="G639" s="1">
        <v>45931</v>
      </c>
    </row>
    <row r="640" spans="1:7" x14ac:dyDescent="0.25">
      <c r="A640" t="s">
        <v>2000</v>
      </c>
      <c r="B640" t="s">
        <v>2001</v>
      </c>
      <c r="C640" t="s">
        <v>2002</v>
      </c>
      <c r="D640" t="s">
        <v>148</v>
      </c>
      <c r="E640" t="str">
        <f>"NL00740021319"</f>
        <v>NL00740021319</v>
      </c>
      <c r="F640" s="1">
        <v>43453</v>
      </c>
      <c r="G640" s="1">
        <v>45278</v>
      </c>
    </row>
    <row r="641" spans="1:7" x14ac:dyDescent="0.25">
      <c r="A641" t="s">
        <v>2003</v>
      </c>
      <c r="B641" t="s">
        <v>2004</v>
      </c>
      <c r="C641" t="s">
        <v>2005</v>
      </c>
      <c r="D641" t="s">
        <v>39</v>
      </c>
      <c r="E641" t="str">
        <f>"NL00740025523"</f>
        <v>NL00740025523</v>
      </c>
      <c r="F641" s="1">
        <v>43747</v>
      </c>
      <c r="G641" s="1">
        <v>45574</v>
      </c>
    </row>
    <row r="642" spans="1:7" x14ac:dyDescent="0.25">
      <c r="A642" t="s">
        <v>2006</v>
      </c>
      <c r="B642" t="s">
        <v>2007</v>
      </c>
      <c r="C642" t="s">
        <v>2008</v>
      </c>
      <c r="D642" t="s">
        <v>43</v>
      </c>
      <c r="E642" t="str">
        <f>"NL00740004265"</f>
        <v>NL00740004265</v>
      </c>
      <c r="F642" s="1">
        <v>41122</v>
      </c>
      <c r="G642" s="1">
        <v>44713</v>
      </c>
    </row>
    <row r="643" spans="1:7" x14ac:dyDescent="0.25">
      <c r="A643" t="s">
        <v>2009</v>
      </c>
      <c r="B643" t="s">
        <v>2010</v>
      </c>
      <c r="C643" t="s">
        <v>2011</v>
      </c>
      <c r="D643" t="s">
        <v>1816</v>
      </c>
      <c r="E643" t="str">
        <f>"NL00740005121"</f>
        <v>NL00740005121</v>
      </c>
      <c r="F643" s="1">
        <v>41244</v>
      </c>
      <c r="G643" s="1">
        <v>44817</v>
      </c>
    </row>
    <row r="644" spans="1:7" x14ac:dyDescent="0.25">
      <c r="A644" t="s">
        <v>2012</v>
      </c>
      <c r="B644" t="s">
        <v>2013</v>
      </c>
      <c r="C644" t="s">
        <v>2014</v>
      </c>
      <c r="D644" t="s">
        <v>10</v>
      </c>
      <c r="E644" t="str">
        <f>"NL00740012821"</f>
        <v>NL00740012821</v>
      </c>
      <c r="F644" s="1">
        <v>42527</v>
      </c>
      <c r="G644" s="1">
        <v>44350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Ministerie van Financien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C.M. HILVERS</dc:creator>
  <cp:lastModifiedBy>Karin C.M. HILVERS</cp:lastModifiedBy>
  <dcterms:created xsi:type="dcterms:W3CDTF">2020-11-02T07:54:59Z</dcterms:created>
  <dcterms:modified xsi:type="dcterms:W3CDTF">2020-11-02T07:58:07Z</dcterms:modified>
</cp:coreProperties>
</file>